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24226"/>
  <bookViews>
    <workbookView xWindow="0" yWindow="0" windowWidth="28800" windowHeight="12210" activeTab="4"/>
  </bookViews>
  <sheets>
    <sheet name="ORÇAMENTO" sheetId="13" r:id="rId1"/>
    <sheet name="MEMÓRIA DE CÁLCULO" sheetId="2" r:id="rId2"/>
    <sheet name="RELATÓRIO DE COMPOSIÇÃO" sheetId="10" r:id="rId3"/>
    <sheet name="CRONOGRAMA" sheetId="7" r:id="rId4"/>
    <sheet name="BDI (24,93%)" sheetId="14" r:id="rId5"/>
  </sheets>
  <externalReferences>
    <externalReference r:id="rId6"/>
  </externalReferences>
  <definedNames>
    <definedName name="_xlnm.Print_Area" localSheetId="1">'MEMÓRIA DE CÁLCULO'!$B$69:$E$98</definedName>
    <definedName name="_xlnm.Print_Area" localSheetId="0">ORÇAMENTO!$B$2:$J$140</definedName>
    <definedName name="BDI">#REF!/100</definedName>
    <definedName name="VALOR_TOTAL">#REF!</definedName>
  </definedNames>
  <calcPr calcId="162913"/>
</workbook>
</file>

<file path=xl/calcChain.xml><?xml version="1.0" encoding="utf-8"?>
<calcChain xmlns="http://schemas.openxmlformats.org/spreadsheetml/2006/main">
  <c r="E119" i="2" l="1"/>
  <c r="F49" i="13" s="1"/>
  <c r="J49" i="13" s="1"/>
  <c r="J51" i="13" s="1"/>
  <c r="E117" i="2"/>
  <c r="D116" i="2"/>
  <c r="C116" i="2"/>
  <c r="B116" i="2"/>
  <c r="D120" i="2"/>
  <c r="C120" i="2"/>
  <c r="B120" i="2"/>
  <c r="H116" i="13" l="1"/>
  <c r="E156" i="2"/>
  <c r="C157" i="2" l="1"/>
  <c r="C48" i="7"/>
  <c r="B48" i="7"/>
  <c r="C45" i="7"/>
  <c r="B45" i="7"/>
  <c r="H45" i="7"/>
  <c r="C42" i="7"/>
  <c r="B42" i="7"/>
  <c r="C39" i="7"/>
  <c r="B39" i="7"/>
  <c r="C36" i="7"/>
  <c r="B36" i="7"/>
  <c r="C33" i="7"/>
  <c r="B33" i="7"/>
  <c r="C30" i="7"/>
  <c r="B30" i="7"/>
  <c r="C21" i="7"/>
  <c r="B21" i="7"/>
  <c r="C18" i="7"/>
  <c r="C15" i="7"/>
  <c r="B18" i="7"/>
  <c r="B15" i="7"/>
  <c r="D11" i="7"/>
  <c r="E11" i="7"/>
  <c r="E10" i="7"/>
  <c r="E9" i="7"/>
  <c r="E7" i="7"/>
  <c r="E6" i="7"/>
  <c r="E5" i="7"/>
  <c r="E4" i="7"/>
  <c r="D7" i="7"/>
  <c r="D8" i="7"/>
  <c r="D5" i="7"/>
  <c r="D6" i="7"/>
  <c r="D4" i="7"/>
  <c r="B60" i="10"/>
  <c r="B61" i="10"/>
  <c r="B62" i="10"/>
  <c r="B63" i="10"/>
  <c r="J19" i="10"/>
  <c r="J20" i="10"/>
  <c r="J21" i="10"/>
  <c r="J22" i="10"/>
  <c r="E12" i="10"/>
  <c r="E11" i="10"/>
  <c r="E10" i="10"/>
  <c r="E9" i="10"/>
  <c r="E8" i="10"/>
  <c r="E7" i="10"/>
  <c r="E6" i="10"/>
  <c r="E5" i="10"/>
  <c r="C11" i="2"/>
  <c r="C10" i="2"/>
  <c r="C9" i="2"/>
  <c r="C7" i="2"/>
  <c r="C4" i="2"/>
  <c r="B11" i="2"/>
  <c r="B8" i="2"/>
  <c r="B7" i="2"/>
  <c r="B6" i="2"/>
  <c r="B5" i="2"/>
  <c r="B4" i="2"/>
  <c r="D249" i="2"/>
  <c r="C249" i="2"/>
  <c r="D246" i="2"/>
  <c r="C246" i="2"/>
  <c r="D243" i="2"/>
  <c r="C243" i="2"/>
  <c r="D240" i="2"/>
  <c r="C240" i="2"/>
  <c r="D237" i="2"/>
  <c r="C237" i="2"/>
  <c r="D225" i="2"/>
  <c r="D219" i="2"/>
  <c r="C219" i="2"/>
  <c r="D216" i="2"/>
  <c r="C216" i="2"/>
  <c r="D213" i="2"/>
  <c r="C213" i="2"/>
  <c r="D210" i="2"/>
  <c r="C210" i="2"/>
  <c r="C208" i="2"/>
  <c r="D202" i="2"/>
  <c r="D199" i="2"/>
  <c r="C205" i="2"/>
  <c r="C202" i="2"/>
  <c r="C199" i="2"/>
  <c r="D195" i="2"/>
  <c r="C195" i="2"/>
  <c r="C193" i="2"/>
  <c r="D189" i="2"/>
  <c r="D185" i="2"/>
  <c r="D181" i="2"/>
  <c r="C189" i="2"/>
  <c r="C185" i="2"/>
  <c r="C181" i="2"/>
  <c r="C179" i="2"/>
  <c r="D175" i="2"/>
  <c r="C175" i="2"/>
  <c r="D172" i="2"/>
  <c r="C172" i="2"/>
  <c r="C169" i="2"/>
  <c r="B169" i="2"/>
  <c r="D169" i="2"/>
  <c r="C163" i="2"/>
  <c r="D159" i="2"/>
  <c r="C159" i="2"/>
  <c r="D153" i="2"/>
  <c r="C153" i="2"/>
  <c r="B153" i="2"/>
  <c r="C151" i="2"/>
  <c r="B151" i="2"/>
  <c r="D144" i="2"/>
  <c r="D145" i="2"/>
  <c r="D146" i="2"/>
  <c r="D147" i="2"/>
  <c r="D148" i="2"/>
  <c r="D149" i="2"/>
  <c r="D150" i="2"/>
  <c r="D143" i="2"/>
  <c r="B144" i="2"/>
  <c r="C144" i="2"/>
  <c r="B145" i="2"/>
  <c r="C145" i="2"/>
  <c r="B146" i="2"/>
  <c r="C146" i="2"/>
  <c r="B147" i="2"/>
  <c r="C147" i="2"/>
  <c r="B148" i="2"/>
  <c r="C148" i="2"/>
  <c r="B149" i="2"/>
  <c r="C149" i="2"/>
  <c r="B150" i="2"/>
  <c r="C150" i="2"/>
  <c r="C143" i="2"/>
  <c r="B143" i="2"/>
  <c r="C141" i="2"/>
  <c r="B141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D125" i="2"/>
  <c r="C125" i="2"/>
  <c r="B125" i="2"/>
  <c r="C123" i="2"/>
  <c r="B123" i="2"/>
  <c r="D57" i="2"/>
  <c r="D54" i="2"/>
  <c r="D49" i="2"/>
  <c r="D44" i="2"/>
  <c r="D39" i="2"/>
  <c r="D34" i="2"/>
  <c r="D30" i="2"/>
  <c r="D26" i="2"/>
  <c r="D23" i="2"/>
  <c r="D82" i="2" l="1"/>
  <c r="C82" i="2"/>
  <c r="D86" i="2"/>
  <c r="C86" i="2"/>
  <c r="D90" i="2"/>
  <c r="C90" i="2"/>
  <c r="C93" i="2"/>
  <c r="D93" i="2"/>
  <c r="D99" i="2"/>
  <c r="C99" i="2"/>
  <c r="B99" i="2"/>
  <c r="B93" i="2"/>
  <c r="B90" i="2"/>
  <c r="B86" i="2"/>
  <c r="B82" i="2"/>
  <c r="B78" i="2"/>
  <c r="C78" i="2"/>
  <c r="D78" i="2"/>
  <c r="D75" i="2"/>
  <c r="C75" i="2"/>
  <c r="B75" i="2"/>
  <c r="D71" i="2"/>
  <c r="C71" i="2"/>
  <c r="B71" i="2"/>
  <c r="C69" i="2"/>
  <c r="B69" i="2"/>
  <c r="D65" i="2"/>
  <c r="C65" i="2"/>
  <c r="B65" i="2"/>
  <c r="D62" i="2"/>
  <c r="C62" i="2"/>
  <c r="B62" i="2"/>
  <c r="C60" i="2"/>
  <c r="B60" i="2"/>
  <c r="C57" i="2"/>
  <c r="C54" i="2"/>
  <c r="C49" i="2"/>
  <c r="C44" i="2"/>
  <c r="C39" i="2"/>
  <c r="C34" i="2"/>
  <c r="C30" i="2"/>
  <c r="C26" i="2"/>
  <c r="C23" i="2"/>
  <c r="B57" i="2"/>
  <c r="B54" i="2"/>
  <c r="B49" i="2"/>
  <c r="B44" i="2"/>
  <c r="B39" i="2"/>
  <c r="B34" i="2"/>
  <c r="B30" i="2"/>
  <c r="B26" i="2"/>
  <c r="B23" i="2"/>
  <c r="D19" i="2"/>
  <c r="C19" i="2"/>
  <c r="B19" i="2"/>
  <c r="D15" i="2"/>
  <c r="C15" i="2"/>
  <c r="B15" i="2" l="1"/>
  <c r="F84" i="13"/>
  <c r="J84" i="13" s="1"/>
  <c r="J85" i="13" s="1"/>
  <c r="J116" i="13"/>
  <c r="K85" i="13" l="1"/>
  <c r="D35" i="7" s="1"/>
  <c r="D33" i="7"/>
  <c r="D205" i="2"/>
  <c r="B205" i="2"/>
  <c r="E241" i="2" l="1"/>
  <c r="B172" i="2"/>
  <c r="D165" i="2"/>
  <c r="C165" i="2"/>
  <c r="B165" i="2"/>
  <c r="H168" i="2"/>
  <c r="E168" i="2"/>
  <c r="E12" i="14"/>
  <c r="E10" i="14"/>
  <c r="E9" i="14"/>
  <c r="E8" i="14"/>
  <c r="E7" i="14"/>
  <c r="E6" i="14"/>
  <c r="E5" i="14"/>
  <c r="P17" i="14"/>
  <c r="P16" i="14"/>
  <c r="D12" i="14"/>
  <c r="D8" i="14"/>
  <c r="D7" i="14"/>
  <c r="D6" i="14"/>
  <c r="D5" i="14"/>
  <c r="E4" i="14"/>
  <c r="D4" i="14"/>
  <c r="E94" i="2" l="1"/>
  <c r="F92" i="13"/>
  <c r="J92" i="13" s="1"/>
  <c r="E206" i="2"/>
  <c r="E207" i="2" s="1"/>
  <c r="F108" i="13" s="1"/>
  <c r="J108" i="13" s="1"/>
  <c r="H48" i="7" l="1"/>
  <c r="C27" i="7"/>
  <c r="B27" i="7"/>
  <c r="C24" i="7"/>
  <c r="B24" i="7"/>
  <c r="H24" i="7"/>
  <c r="F58" i="13"/>
  <c r="F57" i="13"/>
  <c r="F62" i="13"/>
  <c r="E139" i="2"/>
  <c r="F68" i="13" s="1"/>
  <c r="J68" i="13" s="1"/>
  <c r="B157" i="2" l="1"/>
  <c r="B159" i="2"/>
  <c r="B163" i="2"/>
  <c r="B175" i="2"/>
  <c r="B179" i="2"/>
  <c r="B181" i="2"/>
  <c r="B185" i="2"/>
  <c r="B189" i="2"/>
  <c r="B193" i="2"/>
  <c r="B195" i="2"/>
  <c r="B199" i="2"/>
  <c r="B202" i="2"/>
  <c r="B208" i="2"/>
  <c r="B210" i="2"/>
  <c r="B213" i="2"/>
  <c r="B216" i="2"/>
  <c r="B219" i="2"/>
  <c r="B222" i="2"/>
  <c r="F23" i="10"/>
  <c r="J23" i="10" s="1"/>
  <c r="E117" i="13"/>
  <c r="C225" i="2" s="1"/>
  <c r="F18" i="10" l="1"/>
  <c r="J18" i="10" s="1"/>
  <c r="F17" i="10"/>
  <c r="J17" i="10" s="1"/>
  <c r="F16" i="10"/>
  <c r="E113" i="2"/>
  <c r="E115" i="2" s="1"/>
  <c r="F48" i="13" s="1"/>
  <c r="J48" i="13" s="1"/>
  <c r="E109" i="2"/>
  <c r="E107" i="2"/>
  <c r="F46" i="13" s="1"/>
  <c r="D112" i="2"/>
  <c r="C112" i="2"/>
  <c r="B112" i="2"/>
  <c r="B108" i="2"/>
  <c r="C108" i="2"/>
  <c r="D108" i="2"/>
  <c r="D104" i="2"/>
  <c r="C104" i="2"/>
  <c r="B104" i="2"/>
  <c r="C102" i="2"/>
  <c r="B102" i="2"/>
  <c r="E254" i="2"/>
  <c r="E256" i="2"/>
  <c r="F126" i="13" s="1"/>
  <c r="J126" i="13" s="1"/>
  <c r="D253" i="2"/>
  <c r="C253" i="2"/>
  <c r="B253" i="2"/>
  <c r="B249" i="2"/>
  <c r="B246" i="2"/>
  <c r="B243" i="2"/>
  <c r="B240" i="2"/>
  <c r="B237" i="2"/>
  <c r="B225" i="2"/>
  <c r="E111" i="2" l="1"/>
  <c r="F47" i="13" s="1"/>
  <c r="J47" i="13" s="1"/>
  <c r="E122" i="2"/>
  <c r="F50" i="13" s="1"/>
  <c r="J50" i="13" s="1"/>
  <c r="B234" i="2"/>
  <c r="D234" i="2"/>
  <c r="D231" i="2"/>
  <c r="B231" i="2"/>
  <c r="E236" i="2"/>
  <c r="F120" i="13" s="1"/>
  <c r="E233" i="2"/>
  <c r="F119" i="13" s="1"/>
  <c r="E230" i="2"/>
  <c r="F118" i="13" s="1"/>
  <c r="D228" i="2"/>
  <c r="B228" i="2"/>
  <c r="E118" i="13" l="1"/>
  <c r="C228" i="2" s="1"/>
  <c r="E119" i="13"/>
  <c r="C231" i="2" s="1"/>
  <c r="E120" i="13"/>
  <c r="C234" i="2" s="1"/>
  <c r="D120" i="13"/>
  <c r="D119" i="13"/>
  <c r="D118" i="13"/>
  <c r="F49" i="10"/>
  <c r="J49" i="10" s="1"/>
  <c r="F48" i="10"/>
  <c r="J53" i="10"/>
  <c r="J52" i="10"/>
  <c r="J51" i="10"/>
  <c r="J48" i="10"/>
  <c r="F39" i="10"/>
  <c r="J39" i="10" s="1"/>
  <c r="F38" i="10"/>
  <c r="J38" i="10" s="1"/>
  <c r="F40" i="10"/>
  <c r="J40" i="10" s="1"/>
  <c r="F42" i="10"/>
  <c r="J42" i="10" s="1"/>
  <c r="J43" i="10"/>
  <c r="F29" i="10"/>
  <c r="F28" i="10"/>
  <c r="F33" i="10"/>
  <c r="F32" i="10"/>
  <c r="F41" i="10" l="1"/>
  <c r="J41" i="10" s="1"/>
  <c r="J50" i="10"/>
  <c r="J54" i="10" s="1"/>
  <c r="H120" i="13" s="1"/>
  <c r="J120" i="13" s="1"/>
  <c r="J44" i="10"/>
  <c r="H119" i="13" s="1"/>
  <c r="J119" i="13" s="1"/>
  <c r="J33" i="10"/>
  <c r="J32" i="10"/>
  <c r="J31" i="10"/>
  <c r="J30" i="10"/>
  <c r="J29" i="10"/>
  <c r="J28" i="10"/>
  <c r="F117" i="13"/>
  <c r="D117" i="13"/>
  <c r="J124" i="13"/>
  <c r="J123" i="13"/>
  <c r="J105" i="13"/>
  <c r="F80" i="13"/>
  <c r="J80" i="13" s="1"/>
  <c r="F78" i="13"/>
  <c r="J78" i="13" s="1"/>
  <c r="F77" i="13"/>
  <c r="J77" i="13" s="1"/>
  <c r="F76" i="13"/>
  <c r="J76" i="13" s="1"/>
  <c r="F75" i="13"/>
  <c r="J75" i="13" s="1"/>
  <c r="F73" i="13"/>
  <c r="J73" i="13" s="1"/>
  <c r="F69" i="13"/>
  <c r="J69" i="13" s="1"/>
  <c r="F66" i="13"/>
  <c r="J66" i="13" s="1"/>
  <c r="F65" i="13"/>
  <c r="J65" i="13" s="1"/>
  <c r="F64" i="13"/>
  <c r="J64" i="13" s="1"/>
  <c r="F63" i="13"/>
  <c r="J63" i="13" s="1"/>
  <c r="J62" i="13"/>
  <c r="F60" i="13"/>
  <c r="J60" i="13" s="1"/>
  <c r="J58" i="13"/>
  <c r="J57" i="13"/>
  <c r="F56" i="13"/>
  <c r="J56" i="13" s="1"/>
  <c r="F55" i="13"/>
  <c r="J55" i="13" s="1"/>
  <c r="F54" i="13"/>
  <c r="J54" i="13" s="1"/>
  <c r="J46" i="13"/>
  <c r="E132" i="2"/>
  <c r="F61" i="13" s="1"/>
  <c r="J61" i="13" s="1"/>
  <c r="E130" i="2"/>
  <c r="F59" i="13" s="1"/>
  <c r="J59" i="13" s="1"/>
  <c r="E138" i="2"/>
  <c r="F67" i="13" s="1"/>
  <c r="J67" i="13" s="1"/>
  <c r="E242" i="2"/>
  <c r="E214" i="2"/>
  <c r="E183" i="2"/>
  <c r="E192" i="2"/>
  <c r="E188" i="2"/>
  <c r="C203" i="2"/>
  <c r="E160" i="2"/>
  <c r="E162" i="2" s="1"/>
  <c r="F88" i="13" s="1"/>
  <c r="J88" i="13" s="1"/>
  <c r="J89" i="13" s="1"/>
  <c r="D36" i="7" s="1"/>
  <c r="E197" i="2"/>
  <c r="D24" i="7" l="1"/>
  <c r="K89" i="13"/>
  <c r="D38" i="7" s="1"/>
  <c r="J34" i="10"/>
  <c r="H118" i="13" s="1"/>
  <c r="J118" i="13" s="1"/>
  <c r="F100" i="13"/>
  <c r="J100" i="13" s="1"/>
  <c r="F101" i="13"/>
  <c r="J101" i="13" s="1"/>
  <c r="F122" i="13"/>
  <c r="J122" i="13" s="1"/>
  <c r="J70" i="13"/>
  <c r="E200" i="2"/>
  <c r="E174" i="2"/>
  <c r="E144" i="2"/>
  <c r="F74" i="13" s="1"/>
  <c r="J74" i="13" s="1"/>
  <c r="E149" i="2"/>
  <c r="F94" i="13" l="1"/>
  <c r="J94" i="13" s="1"/>
  <c r="E72" i="2"/>
  <c r="K70" i="13"/>
  <c r="D29" i="7" s="1"/>
  <c r="D27" i="7"/>
  <c r="K51" i="13"/>
  <c r="D26" i="7" s="1"/>
  <c r="F79" i="13"/>
  <c r="J79" i="13" s="1"/>
  <c r="J81" i="13" s="1"/>
  <c r="E201" i="2"/>
  <c r="F106" i="13" s="1"/>
  <c r="J106" i="13" s="1"/>
  <c r="E203" i="2"/>
  <c r="E96" i="2"/>
  <c r="E95" i="2"/>
  <c r="E74" i="2"/>
  <c r="E22" i="2"/>
  <c r="E28" i="2"/>
  <c r="E250" i="2"/>
  <c r="E252" i="2" s="1"/>
  <c r="F125" i="13" s="1"/>
  <c r="J125" i="13" s="1"/>
  <c r="E177" i="2"/>
  <c r="E178" i="2" s="1"/>
  <c r="F95" i="13" s="1"/>
  <c r="J95" i="13" s="1"/>
  <c r="H174" i="2"/>
  <c r="E171" i="2"/>
  <c r="K81" i="13" l="1"/>
  <c r="D32" i="7" s="1"/>
  <c r="D30" i="7"/>
  <c r="G26" i="7"/>
  <c r="F26" i="7"/>
  <c r="E26" i="7"/>
  <c r="F35" i="13"/>
  <c r="J35" i="13" s="1"/>
  <c r="F93" i="13"/>
  <c r="J93" i="13" s="1"/>
  <c r="J96" i="13" s="1"/>
  <c r="D39" i="7" s="1"/>
  <c r="E63" i="2"/>
  <c r="F17" i="13"/>
  <c r="J17" i="13" s="1"/>
  <c r="E204" i="2"/>
  <c r="E27" i="2"/>
  <c r="E29" i="2" s="1"/>
  <c r="F19" i="13" s="1"/>
  <c r="J19" i="13" s="1"/>
  <c r="E196" i="2"/>
  <c r="E198" i="2" s="1"/>
  <c r="E83" i="2"/>
  <c r="E79" i="2"/>
  <c r="E81" i="2" s="1"/>
  <c r="E98" i="2"/>
  <c r="F41" i="13" s="1"/>
  <c r="J41" i="13" s="1"/>
  <c r="F107" i="13" l="1"/>
  <c r="J107" i="13" s="1"/>
  <c r="J109" i="13" s="1"/>
  <c r="D45" i="7" s="1"/>
  <c r="F37" i="13"/>
  <c r="J37" i="13" s="1"/>
  <c r="E32" i="2"/>
  <c r="E33" i="2" s="1"/>
  <c r="E91" i="2"/>
  <c r="E92" i="2" s="1"/>
  <c r="E100" i="2"/>
  <c r="E101" i="2" s="1"/>
  <c r="E85" i="2"/>
  <c r="E59" i="2"/>
  <c r="K109" i="13" l="1"/>
  <c r="D47" i="7" s="1"/>
  <c r="K96" i="13"/>
  <c r="D41" i="7" s="1"/>
  <c r="F40" i="13"/>
  <c r="J40" i="13" s="1"/>
  <c r="F20" i="13"/>
  <c r="J20" i="13" s="1"/>
  <c r="F26" i="13"/>
  <c r="J26" i="13" s="1"/>
  <c r="F38" i="13"/>
  <c r="J38" i="13" s="1"/>
  <c r="F42" i="13"/>
  <c r="J42" i="13" s="1"/>
  <c r="E87" i="2"/>
  <c r="E89" i="2" s="1"/>
  <c r="G47" i="7" l="1"/>
  <c r="F47" i="7"/>
  <c r="E47" i="7"/>
  <c r="F39" i="13"/>
  <c r="J39" i="13" s="1"/>
  <c r="J16" i="10"/>
  <c r="J24" i="10" l="1"/>
  <c r="H117" i="13" s="1"/>
  <c r="J117" i="13" s="1"/>
  <c r="D226" i="2"/>
  <c r="D222" i="2" l="1"/>
  <c r="E248" i="2" l="1"/>
  <c r="E224" i="2" l="1"/>
  <c r="E24" i="2" l="1"/>
  <c r="E76" i="2" l="1"/>
  <c r="E18" i="2"/>
  <c r="F16" i="13" l="1"/>
  <c r="J16" i="13" s="1"/>
  <c r="E245" i="2" l="1"/>
  <c r="E239" i="2"/>
  <c r="F121" i="13" s="1"/>
  <c r="J121" i="13" s="1"/>
  <c r="E221" i="2"/>
  <c r="E215" i="2"/>
  <c r="F115" i="13" l="1"/>
  <c r="J115" i="13" s="1"/>
  <c r="F113" i="13"/>
  <c r="J113" i="13" s="1"/>
  <c r="E218" i="2"/>
  <c r="F114" i="13" l="1"/>
  <c r="J114" i="13" s="1"/>
  <c r="E184" i="2"/>
  <c r="F99" i="13" l="1"/>
  <c r="J99" i="13" s="1"/>
  <c r="J102" i="13" s="1"/>
  <c r="D42" i="7" s="1"/>
  <c r="K102" i="13" l="1"/>
  <c r="D44" i="7" s="1"/>
  <c r="F41" i="7" l="1"/>
  <c r="G41" i="7"/>
  <c r="H42" i="7" l="1"/>
  <c r="H39" i="7"/>
  <c r="H36" i="7"/>
  <c r="H33" i="7"/>
  <c r="H30" i="7"/>
  <c r="H27" i="7"/>
  <c r="H21" i="7"/>
  <c r="E8" i="7"/>
  <c r="E77" i="2"/>
  <c r="F36" i="13" s="1"/>
  <c r="J36" i="13" s="1"/>
  <c r="J43" i="13" s="1"/>
  <c r="E56" i="2"/>
  <c r="E25" i="2"/>
  <c r="D21" i="7" l="1"/>
  <c r="K43" i="13"/>
  <c r="D23" i="7" s="1"/>
  <c r="F18" i="13"/>
  <c r="J18" i="13" s="1"/>
  <c r="F25" i="13"/>
  <c r="J25" i="13" s="1"/>
  <c r="E66" i="2"/>
  <c r="E35" i="2"/>
  <c r="E40" i="2"/>
  <c r="F32" i="7"/>
  <c r="G32" i="7"/>
  <c r="E35" i="7"/>
  <c r="E64" i="2"/>
  <c r="H18" i="7"/>
  <c r="H15" i="7"/>
  <c r="E41" i="7"/>
  <c r="F30" i="13" l="1"/>
  <c r="J30" i="13" s="1"/>
  <c r="E68" i="2"/>
  <c r="F29" i="7"/>
  <c r="F38" i="7"/>
  <c r="G38" i="7"/>
  <c r="F35" i="7"/>
  <c r="G35" i="7"/>
  <c r="E32" i="7"/>
  <c r="F31" i="13" l="1"/>
  <c r="J31" i="13" s="1"/>
  <c r="E29" i="7"/>
  <c r="G29" i="7"/>
  <c r="J32" i="13" l="1"/>
  <c r="G23" i="7"/>
  <c r="F23" i="7"/>
  <c r="E23" i="7"/>
  <c r="E38" i="7"/>
  <c r="K32" i="13" l="1"/>
  <c r="D20" i="7" s="1"/>
  <c r="F20" i="7" s="1"/>
  <c r="N127" i="13"/>
  <c r="E211" i="2" s="1"/>
  <c r="E212" i="2" s="1"/>
  <c r="D18" i="7"/>
  <c r="G20" i="7" l="1"/>
  <c r="E20" i="7"/>
  <c r="F112" i="13"/>
  <c r="J112" i="13" s="1"/>
  <c r="J127" i="13" s="1"/>
  <c r="K127" i="13" s="1"/>
  <c r="O127" i="13"/>
  <c r="P127" i="13" s="1"/>
  <c r="E36" i="2"/>
  <c r="D50" i="7" l="1"/>
  <c r="D48" i="7"/>
  <c r="E41" i="2"/>
  <c r="E38" i="2"/>
  <c r="E44" i="7"/>
  <c r="G44" i="7"/>
  <c r="F44" i="7"/>
  <c r="F50" i="7" l="1"/>
  <c r="E50" i="7"/>
  <c r="E46" i="2"/>
  <c r="E43" i="2"/>
  <c r="F21" i="13"/>
  <c r="J21" i="13" s="1"/>
  <c r="G50" i="7"/>
  <c r="F22" i="13" l="1"/>
  <c r="J22" i="13" s="1"/>
  <c r="E47" i="2"/>
  <c r="E48" i="2" s="1"/>
  <c r="E51" i="2"/>
  <c r="E52" i="2" s="1"/>
  <c r="E53" i="2" s="1"/>
  <c r="F24" i="13" l="1"/>
  <c r="J24" i="13" s="1"/>
  <c r="F23" i="13"/>
  <c r="J23" i="13" s="1"/>
  <c r="J27" i="13" l="1"/>
  <c r="K27" i="13" l="1"/>
  <c r="D17" i="7" s="1"/>
  <c r="J129" i="13"/>
  <c r="D15" i="7"/>
  <c r="J130" i="13" l="1"/>
  <c r="J131" i="13" s="1"/>
  <c r="K130" i="13"/>
  <c r="L133" i="13"/>
  <c r="L136" i="13" s="1"/>
  <c r="F17" i="7"/>
  <c r="G17" i="7"/>
  <c r="E17" i="7"/>
  <c r="E54" i="7" s="1"/>
  <c r="F54" i="7" l="1"/>
  <c r="F52" i="7" s="1"/>
  <c r="E52" i="7"/>
  <c r="G54" i="7"/>
  <c r="G52" i="7" s="1"/>
  <c r="E55" i="7"/>
  <c r="F55" i="7" s="1"/>
  <c r="E53" i="7"/>
  <c r="G55" i="7" l="1"/>
  <c r="F53" i="7"/>
  <c r="G53" i="7" s="1"/>
</calcChain>
</file>

<file path=xl/sharedStrings.xml><?xml version="1.0" encoding="utf-8"?>
<sst xmlns="http://schemas.openxmlformats.org/spreadsheetml/2006/main" count="1064" uniqueCount="395">
  <si>
    <t>SECRETARIA MUNICIPAL DE OBRAS</t>
  </si>
  <si>
    <t>ITEM</t>
  </si>
  <si>
    <t xml:space="preserve">DESCRIÇÃO </t>
  </si>
  <si>
    <t>QUANT.</t>
  </si>
  <si>
    <t>UND.</t>
  </si>
  <si>
    <t xml:space="preserve">MATERIAL </t>
  </si>
  <si>
    <t>MÃO DE OBRA</t>
  </si>
  <si>
    <t xml:space="preserve">TOTAL </t>
  </si>
  <si>
    <t>GOINFRA</t>
  </si>
  <si>
    <t>SERVIÇOS PRELIMINARES</t>
  </si>
  <si>
    <t xml:space="preserve">m2 </t>
  </si>
  <si>
    <t>TRANSPORTES</t>
  </si>
  <si>
    <t>2.1</t>
  </si>
  <si>
    <t>SERVICO EM TERRA</t>
  </si>
  <si>
    <t xml:space="preserve">GOINFRA </t>
  </si>
  <si>
    <t>INST. ELET./TELEFONICA/CABEAMENTO ESTRUTURADO</t>
  </si>
  <si>
    <t>INSTALAÇÕES HIDROSSANITÁRIAS</t>
  </si>
  <si>
    <t>REVESTIMENTO DE PISO</t>
  </si>
  <si>
    <t>ADMINISTRAÇÃO - MENSALISTAS</t>
  </si>
  <si>
    <t>PINTURA</t>
  </si>
  <si>
    <t>DIVERSOS</t>
  </si>
  <si>
    <t>SINAPI</t>
  </si>
  <si>
    <t>Quantidade</t>
  </si>
  <si>
    <t>Duração da obra</t>
  </si>
  <si>
    <t xml:space="preserve">m3 </t>
  </si>
  <si>
    <t>m2</t>
  </si>
  <si>
    <t xml:space="preserve"> </t>
  </si>
  <si>
    <t>BDI</t>
  </si>
  <si>
    <t>und.</t>
  </si>
  <si>
    <t>2.2</t>
  </si>
  <si>
    <t>TABELA</t>
  </si>
  <si>
    <t>CÓD.</t>
  </si>
  <si>
    <t>SETOR</t>
  </si>
  <si>
    <t>PROCESSO</t>
  </si>
  <si>
    <t>OBJETO</t>
  </si>
  <si>
    <t>ENDEREÇO</t>
  </si>
  <si>
    <t>TABELAS</t>
  </si>
  <si>
    <t xml:space="preserve">DATA </t>
  </si>
  <si>
    <t>TOTAL DO GRUPO</t>
  </si>
  <si>
    <t>CUSTO TOTAL</t>
  </si>
  <si>
    <t>VALOR TOTAL COM BDI</t>
  </si>
  <si>
    <t>DESCRIÇÃO</t>
  </si>
  <si>
    <t>UNID.</t>
  </si>
  <si>
    <t>MEMÓRIA CÁLCULO</t>
  </si>
  <si>
    <t>SERVIÇOS</t>
  </si>
  <si>
    <t>PERCENTUAL GLOBAL MENSAL</t>
  </si>
  <si>
    <t>PERCENTUAL GLOBAL ACUMULADO</t>
  </si>
  <si>
    <t>VALOR MENSAL</t>
  </si>
  <si>
    <t>VALOR ACUMULADO</t>
  </si>
  <si>
    <t>MEMORIAL DE CÁLCULO</t>
  </si>
  <si>
    <t>A</t>
  </si>
  <si>
    <t>B</t>
  </si>
  <si>
    <t>C</t>
  </si>
  <si>
    <t>COMPOSIÇÃO BDI (BENEFÍCIOS E DISPESAS INDIRETAS)</t>
  </si>
  <si>
    <t>DURAÇÃO</t>
  </si>
  <si>
    <t>1º MÊS</t>
  </si>
  <si>
    <t>2º MÊS</t>
  </si>
  <si>
    <t>3º MÊS</t>
  </si>
  <si>
    <t>Total</t>
  </si>
  <si>
    <t>CRONOGRAMA FÍSICO E FINANCEIRO</t>
  </si>
  <si>
    <t xml:space="preserve">CONSUMO DE ÁGUA </t>
  </si>
  <si>
    <t xml:space="preserve">CONSUMO DE ENERGIA ELÉTRICA </t>
  </si>
  <si>
    <t xml:space="preserve">KWH </t>
  </si>
  <si>
    <t>1.1</t>
  </si>
  <si>
    <t>1.3</t>
  </si>
  <si>
    <t>1.4</t>
  </si>
  <si>
    <t>1.5</t>
  </si>
  <si>
    <t>1.6</t>
  </si>
  <si>
    <t>Área</t>
  </si>
  <si>
    <t>Área de intervenção</t>
  </si>
  <si>
    <t>Consumo</t>
  </si>
  <si>
    <t xml:space="preserve">MES </t>
  </si>
  <si>
    <t>SINAPI - I</t>
  </si>
  <si>
    <t>Volume</t>
  </si>
  <si>
    <t>Limpeza do terreno</t>
  </si>
  <si>
    <t xml:space="preserve">Porcentagem </t>
  </si>
  <si>
    <t>Total (A*B)</t>
  </si>
  <si>
    <t xml:space="preserve">APILOAMENTO MECÂNICO </t>
  </si>
  <si>
    <t xml:space="preserve">CARGA MECANIZADA </t>
  </si>
  <si>
    <t>3.1</t>
  </si>
  <si>
    <t>3.2</t>
  </si>
  <si>
    <t>3.3</t>
  </si>
  <si>
    <t>3.4</t>
  </si>
  <si>
    <t>4.1</t>
  </si>
  <si>
    <t>5.1</t>
  </si>
  <si>
    <t>Subtotal</t>
  </si>
  <si>
    <t>m</t>
  </si>
  <si>
    <t xml:space="preserve">CAIXA DE PASSAGEM - TAMPA EM CONCRETO ARMADO 25 MPA E=5CM </t>
  </si>
  <si>
    <t xml:space="preserve">CAIXA DE PASSAGEM 20X20X25CM FUNDO BRITA SEM TAMPA </t>
  </si>
  <si>
    <t xml:space="preserve">CABO EPR/XLPE (90°C) 1KV - 10MM2 </t>
  </si>
  <si>
    <t xml:space="preserve">HASTE REV.COBRE(COPPERWELD) 5/8" X 3,00 M C/CONECTOR </t>
  </si>
  <si>
    <t xml:space="preserve">RELE FOTO ELETRICO COM BASE </t>
  </si>
  <si>
    <t>LUMINÁRIA DE LED PARA ILUMINAÇÃO PÚBLICA, DE 98 W ATÉ 137 W - FORNECIMENTO E INSTALAÇÃO. AF_08/2020</t>
  </si>
  <si>
    <t xml:space="preserve">SUPORTE PARA 4 PÉTALAS PARA LUMINÁRIA DE ILUMINAÇÃO PÚBLICA </t>
  </si>
  <si>
    <t>m³/m²</t>
  </si>
  <si>
    <t>Kwh/m²</t>
  </si>
  <si>
    <t>%</t>
  </si>
  <si>
    <t>Comprimento</t>
  </si>
  <si>
    <t xml:space="preserve">H </t>
  </si>
  <si>
    <t xml:space="preserve">MESTRE DE OBRA - (OBRAS CIVIS) </t>
  </si>
  <si>
    <t>Horas trabalhadas</t>
  </si>
  <si>
    <t xml:space="preserve">Horas por dia </t>
  </si>
  <si>
    <t>Dias trabalhados</t>
  </si>
  <si>
    <t>H/dia</t>
  </si>
  <si>
    <t>dia</t>
  </si>
  <si>
    <t xml:space="preserve">Volume </t>
  </si>
  <si>
    <t xml:space="preserve">ARGILA OU BARRO PARA ATERRO/REATERRO (COM TRANSPORTE ATE 10 KM) </t>
  </si>
  <si>
    <t xml:space="preserve">Empolamento </t>
  </si>
  <si>
    <t>m3</t>
  </si>
  <si>
    <t>PLANTIO GRAMA ESMERALDA PLACA C/ M.O. IRRIG., ADUBO,TERRA VEGETAL (O.C.) A&lt;11.000,00M2</t>
  </si>
  <si>
    <t>Placa de inauguração</t>
  </si>
  <si>
    <t>Área total</t>
  </si>
  <si>
    <t>PISO DE LADRILHO HIDRÁULICO COLORIDO MODELO TÁTIL ( ALERTA OU DIRECIONAL) SEM LASTRO</t>
  </si>
  <si>
    <t>Quantidade de rampas de acesso</t>
  </si>
  <si>
    <t>Área de piso tátil por rampa de acesso</t>
  </si>
  <si>
    <t>LIMPEZA FINAL DE OBRA - (OBRAS CIVIS)</t>
  </si>
  <si>
    <t>OBELISCO PARA PLACA DE INAUGURAÇÃO - PADRÃO GOINFRA</t>
  </si>
  <si>
    <t>Área virtual</t>
  </si>
  <si>
    <t>Grama esmeralda</t>
  </si>
  <si>
    <t>REGULARIZAÇÃO DO TERRENO SEM APILOAMENTO COM TRANSPORTE MANUAL DA TERRA ESCAVADA</t>
  </si>
  <si>
    <t>LOCAÇÃO DE PRAÇA, QUADRA, IMPLANTAÇÃO UTILIZANDO CAVALETE, INCLUSO PIQUETE COM TESTEMUNHA</t>
  </si>
  <si>
    <t xml:space="preserve">TORNEIRA DE JARDIM COM BICO PARA MANGUEIRA DIÂMETRO DE 1/2" E 3/4" </t>
  </si>
  <si>
    <t xml:space="preserve">TE 90 GRAUS SOLDAVEL DIAMETRO 25 mm </t>
  </si>
  <si>
    <t xml:space="preserve">MEIO FIO COM SARJETA - MFU02 </t>
  </si>
  <si>
    <t>GOINFRA - RO</t>
  </si>
  <si>
    <t>8.1</t>
  </si>
  <si>
    <t>POSTE SIMPLES CÔNICO CONTÍNUO, CIRCULAR, RETO, COM DIÂMETRO NOMINAL DE 60MM NA EXTREMIDADE, GALVANIZADO A FOGO, Hútil= 7 M - ENGASTADO EM CONCRETO COM FCK = 13,5 MPA</t>
  </si>
  <si>
    <t>Altura</t>
  </si>
  <si>
    <t>RASPAGEM E LIMPEZA MANUAL DO TERRENO</t>
  </si>
  <si>
    <t>PLACA DE OBRA PLOTADA EM CHAPA METÁLICA 26 , AFIXADA EM CAVALETES DE MADEIRA DE LEI (VIGOTAS 6X12CM) - PADRÃO GOINFRA</t>
  </si>
  <si>
    <t>Total = (A x B)</t>
  </si>
  <si>
    <t xml:space="preserve">MÊS </t>
  </si>
  <si>
    <t>Área da praça</t>
  </si>
  <si>
    <t>Área total de intervenção</t>
  </si>
  <si>
    <t>Un</t>
  </si>
  <si>
    <t>un</t>
  </si>
  <si>
    <t>CAIAÇAO 2 DEMAOS EM POSTE/ VIGAS E MEIO FIO(OC)</t>
  </si>
  <si>
    <t>Meio fio</t>
  </si>
  <si>
    <t>JOELHO 90 GRAUS SOLD. C/BUCHA LATAO 25 X 3/4"</t>
  </si>
  <si>
    <t>PADRÃO TRIFASICO 25 MM H=7 METROS</t>
  </si>
  <si>
    <t>CABO PVC (70ºC) 1 KV No. 4 MM2</t>
  </si>
  <si>
    <t>CABO PVC (70ºC) 1 KV No. 6 MM2</t>
  </si>
  <si>
    <t>5.2</t>
  </si>
  <si>
    <t>5.3</t>
  </si>
  <si>
    <t>5.4</t>
  </si>
  <si>
    <t>5.5</t>
  </si>
  <si>
    <t>5.6</t>
  </si>
  <si>
    <t>5.7</t>
  </si>
  <si>
    <t>5.8</t>
  </si>
  <si>
    <t>ORÇAMENTO</t>
  </si>
  <si>
    <t>9.1</t>
  </si>
  <si>
    <t xml:space="preserve">Consumo </t>
  </si>
  <si>
    <t>LOCAÇÃO DE CONTAINER 2,30 X 6,00 M, ALT. 2,50 M, COM 1 SANITÁRIO, PARA ESCRITÓRIO, COMPLETO, SEM DIVISÓRIAS INTERNAS</t>
  </si>
  <si>
    <t xml:space="preserve">UNIÃO SOLDÁVEL DIÂMETRO 25 mm </t>
  </si>
  <si>
    <t xml:space="preserve">HIDRÔMETRO DIAM.RAMAL = 25 MM VAZAO =1,5 A 3 M3 </t>
  </si>
  <si>
    <t xml:space="preserve">JOELHO 90 GRAUS SOLDAVEL DIÂMETRO 25 MM </t>
  </si>
  <si>
    <t xml:space="preserve">TUBO SOLDÁVEL PVC MARROM DIÂMETRO 25 mm </t>
  </si>
  <si>
    <t>1.2</t>
  </si>
  <si>
    <t>LASTRO DE CONCRETO REGULARIZADO SEM IMPERMEAB. 1:3:6 ESP= 5CM (BASE)</t>
  </si>
  <si>
    <t>6.1</t>
  </si>
  <si>
    <t>6.2</t>
  </si>
  <si>
    <t>MONUMENTO METÁLICO</t>
  </si>
  <si>
    <t>COT. MERCADO</t>
  </si>
  <si>
    <t>PLANTIO DE PALMEIRA COM ALTURA DE MUDA MENOR OU IGUAL A 2,00 M. AF_05/2018</t>
  </si>
  <si>
    <t>-</t>
  </si>
  <si>
    <t xml:space="preserve">PLACA DE INAUGURAÇÃO AÇO ESCOVADO 80 X 60 CM </t>
  </si>
  <si>
    <t>PASSARELA FABRICADA EM PERFIL I DE 8 POLEGADAS, GUARDA-CORPO EM TUBO DE AÇO CARBONO E PISO EM PLACA WALL</t>
  </si>
  <si>
    <t>Calçadas internas e externas</t>
  </si>
  <si>
    <t>Ponte</t>
  </si>
  <si>
    <t>CONSTRUÇÃO DA PRAÇA DO CÓRREGO DO ALMOÇO</t>
  </si>
  <si>
    <t>6.3</t>
  </si>
  <si>
    <t>RESPONSABILIDADE TÉCNICA:</t>
  </si>
  <si>
    <t xml:space="preserve">                                                                                                        _________________________________________                                                </t>
  </si>
  <si>
    <t xml:space="preserve">                                                                                                          LEONARDO MARTINS DE CASTRO TEIXEIRA                                              </t>
  </si>
  <si>
    <t xml:space="preserve">                                                                                                               SECRETÁRIO MUNICIPAL DE OBRAS                                                                    </t>
  </si>
  <si>
    <t xml:space="preserve">                                                                                                                    CREA 7455/D-GO                                                                                    </t>
  </si>
  <si>
    <t>COMPOSIÇÃO</t>
  </si>
  <si>
    <t>ÁREA DE USO PÚBLICO SITUADA À RUA ALDEMAR FERRUGEM COM A AVENIDA NICOLAU ABRÃO</t>
  </si>
  <si>
    <t xml:space="preserve">Placa de Concreto    </t>
  </si>
  <si>
    <t/>
  </si>
  <si>
    <t>Palmeira</t>
  </si>
  <si>
    <t>RELATÓRIO DE COMPOSIÇÃO</t>
  </si>
  <si>
    <t>DESCRIÇÃO DO SERVIÇO</t>
  </si>
  <si>
    <t>Kg</t>
  </si>
  <si>
    <t xml:space="preserve">Kg </t>
  </si>
  <si>
    <t xml:space="preserve">PREPARO COM BETONEIRA E TRANSPORTE MANUAL DE CONCRETO FCK=25 MPA </t>
  </si>
  <si>
    <t xml:space="preserve">LANÇAMENTO/APLICAÇÃO/ADENSAMENTO DE CONCRETO EM ESTRUTURA - (O.C.) </t>
  </si>
  <si>
    <t>TOTAL</t>
  </si>
  <si>
    <t>COMP. 01</t>
  </si>
  <si>
    <t>ACO CA-50A - 10,0 MM (3/8") - (OBRAS CIVIS)</t>
  </si>
  <si>
    <t>ACO CA-50 A - 8,0 MM (5/16") - (OBRAS CIVIS)</t>
  </si>
  <si>
    <t>ACO CA-50-A - 6,3 MM (1/4") - (OBRAS CIVIS)</t>
  </si>
  <si>
    <t>FORMA CHAPA DE COMPENSADO RESINADO 12 MM U=3 V (OBRAS CIVIS)</t>
  </si>
  <si>
    <t>1.8</t>
  </si>
  <si>
    <t>LETRA CAIXA CHAPA GALVANIZADA PINTADA COLOCADA</t>
  </si>
  <si>
    <t>TABELA GOINFRA T200 - CUSTOS DE OBRAS CIVIS - MARÇO/2023 - COM DESONERAÇÃO - DATA BASE: 01/03/2023</t>
  </si>
  <si>
    <t>TABELA SINAPI PCI.817.01 - CUSTO DE COMPOSIÇÕES - SINTÉTICO - MARÇO/2023 - COM DESONERAÇÃO - DATA BASE: 13/04/2023</t>
  </si>
  <si>
    <t>TABELA DE TERRAPLENAGEM, PAVIMENTAÇÃO E OBRAS DE ARTE ESPECIAIS - T198 - MAR/23 - COM DESONERAÇÃO - DATA BASE: 01/03/2023</t>
  </si>
  <si>
    <t>BDI (24,93%)</t>
  </si>
  <si>
    <t>Total = (B x C)</t>
  </si>
  <si>
    <t>1.7</t>
  </si>
  <si>
    <t>LOCACAO DE CONTAINER 2,30 X 6,00 M, ALT. 2,50 M, PARA ESCRITORIO, SEM DIVISORIAS INTERNAS E SEM SANITARIO (NÃO INCLUI MOBILIZACAO/ DESMOBILIZACAO)</t>
  </si>
  <si>
    <t>Duração da obra (Destinado a administração da obra)</t>
  </si>
  <si>
    <t>Duração da obra (Destinado a guardo de materiais e ferramentas)</t>
  </si>
  <si>
    <t xml:space="preserve">Total = </t>
  </si>
  <si>
    <t>TELA PLASTICA LARANJA, TIPO TAPUME PARA SINALIZACAO, MALHA RETANGULAR, ROLO 1.20 X 50 M (L X C)</t>
  </si>
  <si>
    <t>1.9</t>
  </si>
  <si>
    <t>GOINFRA - I</t>
  </si>
  <si>
    <t>LIGAÇÃO PROVISÓRIA LUZ E FORÇA - PD. GOINFRA</t>
  </si>
  <si>
    <t>1.10</t>
  </si>
  <si>
    <t>1.11</t>
  </si>
  <si>
    <t>LIGAÇÃO PROVISÓRIA DE ÁGUA (INCLUSO RETIRADA DO ESGOTO SANITÁRIO) - PD.
GOINFRA</t>
  </si>
  <si>
    <t>6.4</t>
  </si>
  <si>
    <t>Área de piso das calçadas internas - conforme projeto arquitetônico</t>
  </si>
  <si>
    <t>Área de piso do deck - conforme projeto arquitetônico</t>
  </si>
  <si>
    <t>Área de piso das passeio público - conforme projeto arquitetônico</t>
  </si>
  <si>
    <t>6.5</t>
  </si>
  <si>
    <t>LADRILHO HIDRAULICO DE UMA COR (SEM LASTRO)</t>
  </si>
  <si>
    <t>Meio fio externo</t>
  </si>
  <si>
    <t>Complemento meio fio - final da calçada até linha férrea</t>
  </si>
  <si>
    <t>Tapume para isolar obra de pedestres - externo</t>
  </si>
  <si>
    <t>Tapume para isolar córrego - 2 lados internos</t>
  </si>
  <si>
    <t>Altura (30cm enterrado)</t>
  </si>
  <si>
    <t>Quantidade de pontaletes</t>
  </si>
  <si>
    <t>PONTALETE 3x3"</t>
  </si>
  <si>
    <t>Área na margem da linha férrea de ambos os lados (apenas no final da obra)</t>
  </si>
  <si>
    <t>TRANSPORTE DE ENTULHO EM CAÇAMBA ESTACIONÁRIA INCLUSO A CARGA MANUAL</t>
  </si>
  <si>
    <t>Área de obra padrão GOINFRA (para o serviço de ligação provisória)</t>
  </si>
  <si>
    <t>Proporção (B / A)</t>
  </si>
  <si>
    <t>Total = (C x 100)</t>
  </si>
  <si>
    <t>Área de virtual da praça</t>
  </si>
  <si>
    <t>ÁrÁrea de virtual da praça</t>
  </si>
  <si>
    <t>TRANSPORTE DE ENTULHO EM CAMINHÃO SEM CARGA</t>
  </si>
  <si>
    <t>Base das placas de concreto</t>
  </si>
  <si>
    <t>COMPACTAÇÃO MECÂNICA SEM CONTROLE LABORATÓRIO</t>
  </si>
  <si>
    <t>3.5</t>
  </si>
  <si>
    <t>Volume de aterro para nivelamento do jardim - espessura = 5cm</t>
  </si>
  <si>
    <t>Volume de aterro para nivelamento das calçadas - espessura = 10cm</t>
  </si>
  <si>
    <t>Volume de aterro para nivelamento do terreno geral</t>
  </si>
  <si>
    <t>Conforme item 3.5</t>
  </si>
  <si>
    <t>3.6</t>
  </si>
  <si>
    <t>3.7</t>
  </si>
  <si>
    <t>3.8</t>
  </si>
  <si>
    <t>m3km</t>
  </si>
  <si>
    <t>ESCAVACAO MECANICA</t>
  </si>
  <si>
    <t>TRANSPORTE DE MATERIAL ESCAVADO M3.KM</t>
  </si>
  <si>
    <t>Volume de aterro</t>
  </si>
  <si>
    <t xml:space="preserve">Distância </t>
  </si>
  <si>
    <t>km</t>
  </si>
  <si>
    <t>Carga - conforme item 3.4</t>
  </si>
  <si>
    <t>TUBO SOLDAVEL PARA ESGOTO DIAMETRO 100 MM</t>
  </si>
  <si>
    <t>5.9</t>
  </si>
  <si>
    <t>5.10</t>
  </si>
  <si>
    <t>5.11</t>
  </si>
  <si>
    <t>5.12</t>
  </si>
  <si>
    <t>6.6</t>
  </si>
  <si>
    <t>6.7</t>
  </si>
  <si>
    <t>6.8</t>
  </si>
  <si>
    <t>10.1</t>
  </si>
  <si>
    <t>10.2</t>
  </si>
  <si>
    <t>10.3</t>
  </si>
  <si>
    <t>Conforme item 3.7</t>
  </si>
  <si>
    <t>5.13</t>
  </si>
  <si>
    <t>5.14</t>
  </si>
  <si>
    <t>5.15</t>
  </si>
  <si>
    <t>CABO FLEXÍVEL EPR/XLPE (90°C), 0,6/1 KV, 16 MM2</t>
  </si>
  <si>
    <t>CABO FLEXÍVEL EPR/XLPE (90°C), 0,6/1 KV, 25MM2</t>
  </si>
  <si>
    <t>ELETRODUTO PVC FLEXÍVEL - MANGUEIRA CORRUGADA REFORÇADA - DIAM. 75MM</t>
  </si>
  <si>
    <t>ELETRODUTO PVC FLEXÍVEL - MANGUEIRA CORRUGADA REFORÇADA - DIAM. 50MM</t>
  </si>
  <si>
    <t>MONUMENTO METÁLICO REVESTIDO EM ACM</t>
  </si>
  <si>
    <t>Momumento em arco (dois arcos) - conforme projeto</t>
  </si>
  <si>
    <t>INDENIZAÇÃO DE JAZIDA</t>
  </si>
  <si>
    <t>Área de piso do deck - conforme projeto arquitetônico (COR MARROM)</t>
  </si>
  <si>
    <t>ESTRUTURAS METÁLICAS</t>
  </si>
  <si>
    <t>ESQUADRIAS METÁLICAS</t>
  </si>
  <si>
    <t>GRADE DE FRENTE/FERRO REDONDO COM ESTACA D=25CM ARMADA - GF-1</t>
  </si>
  <si>
    <t>FUNDO ANTICORROSIVO PARA ESQUADRIAS METÁLICAS</t>
  </si>
  <si>
    <t>PINTURA ESMALTE 2 DEMÃOS PARA ESQUADRIAS DE FERRO (SEM FUNDO
ANTICORROSIVO)</t>
  </si>
  <si>
    <t>9.2</t>
  </si>
  <si>
    <t>9.3</t>
  </si>
  <si>
    <t>9.4</t>
  </si>
  <si>
    <t>11.1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</si>
  <si>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</si>
  <si>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</si>
  <si>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</si>
  <si>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</si>
  <si>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</si>
  <si>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</si>
  <si>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</si>
  <si>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</si>
  <si>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</si>
  <si>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</si>
  <si>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</si>
  <si>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11.2</t>
  </si>
  <si>
    <t>11.3</t>
  </si>
  <si>
    <t>Seção do meio fio - 0,10m x 0,15m</t>
  </si>
  <si>
    <t>Comprimento da grade de proteção da passarela</t>
  </si>
  <si>
    <t>Conforme item 8.1</t>
  </si>
  <si>
    <t>Área de pintura</t>
  </si>
  <si>
    <t>ENGENHEIRO - (OBRAS CIVIS)</t>
  </si>
  <si>
    <t>VIGIA DE OBRAS - (NOTURNO E NO SÁBADO/DOMINGO DIURNO) - O.C. H</t>
  </si>
  <si>
    <t>INSTALAÇÃO DE LIXEIRA METÁLICA DUPLA, CAPACIDADE DE 60 L, EM TUBO DE AÇO CARBONO E CESTOS EM CHAPA DE AÇO COM PINTURA ELETROSTÁTICA, SOBRE SOLO. AF_11/2021</t>
  </si>
  <si>
    <t xml:space="preserve">SINAPI - I </t>
  </si>
  <si>
    <t>MUDA DE ARBUSTO FLORIFERO, CLUSIA/GARDENIA/MOREIA BRANCA/ AZALEIA OU EQUIVALENTE DA REGIAO, H= *50 A 70* CM</t>
  </si>
  <si>
    <t>12.12</t>
  </si>
  <si>
    <t>COMP. 02</t>
  </si>
  <si>
    <t>BANCO DE CONCRETO - TIPO 1</t>
  </si>
  <si>
    <t>PINTURA C/VERNIZ ACRILICO-02 DEMAOS</t>
  </si>
  <si>
    <t>COMP. 03</t>
  </si>
  <si>
    <t>BANCO DE CONCRETO - TIPO 2</t>
  </si>
  <si>
    <t>COMP. 04</t>
  </si>
  <si>
    <t>BANCO DE CONCRETO - TIPO 3</t>
  </si>
  <si>
    <t>Quantidade de bancos conforme projeto</t>
  </si>
  <si>
    <t>RECOMPOSIÇÃO DE DRENAGEM SUPERFICIAL (AC/BC)</t>
  </si>
  <si>
    <t>Limpeza completa do gabião existente</t>
  </si>
  <si>
    <t>Profundidade</t>
  </si>
  <si>
    <t>FUNDAÇÕES E SONDAGENS</t>
  </si>
  <si>
    <t>4.2</t>
  </si>
  <si>
    <t>4.3</t>
  </si>
  <si>
    <t>ACO CA-50A - 6,3 MM (1/4") - (OBRAS CIVIS)</t>
  </si>
  <si>
    <t xml:space="preserve">ESTACA A TRADO DIAM.30 CM SEM FERRO </t>
  </si>
  <si>
    <t>Peso</t>
  </si>
  <si>
    <t>Estacas para base do monumento e sustentação da ponte</t>
  </si>
  <si>
    <t>Peso especifico</t>
  </si>
  <si>
    <t>Kg/m</t>
  </si>
  <si>
    <t>PLACA DE CONCRETO COM LETREIRO 3,20m X 1,70m</t>
  </si>
  <si>
    <t>7.1</t>
  </si>
  <si>
    <t>11.4</t>
  </si>
  <si>
    <t>11.5</t>
  </si>
  <si>
    <t>5.16</t>
  </si>
  <si>
    <t>LUMINÁRIA PLAFON LED QUADRADA DE SOBREPOR, 36W A 39W, 60X60 CM</t>
  </si>
  <si>
    <t>ACÓRDÃO 2.622/2013 – TCU – PLENÁRIO / PORTARIA 449/2015 PR-AGETOP</t>
  </si>
  <si>
    <r>
      <t xml:space="preserve">Administração Central </t>
    </r>
    <r>
      <rPr>
        <b/>
        <vertAlign val="superscript"/>
        <sz val="14"/>
        <rFont val="Arial Narrow"/>
        <family val="2"/>
      </rPr>
      <t>(1)</t>
    </r>
  </si>
  <si>
    <r>
      <t xml:space="preserve">Lucro </t>
    </r>
    <r>
      <rPr>
        <b/>
        <vertAlign val="superscript"/>
        <sz val="14"/>
        <rFont val="Arial Narrow"/>
        <family val="2"/>
      </rPr>
      <t>(2)</t>
    </r>
  </si>
  <si>
    <r>
      <t xml:space="preserve">Despesas financeiras </t>
    </r>
    <r>
      <rPr>
        <b/>
        <vertAlign val="superscript"/>
        <sz val="14"/>
        <rFont val="Arial Narrow"/>
        <family val="2"/>
      </rPr>
      <t>(3)</t>
    </r>
  </si>
  <si>
    <r>
      <t xml:space="preserve">Seguros + garantias </t>
    </r>
    <r>
      <rPr>
        <b/>
        <vertAlign val="superscript"/>
        <sz val="14"/>
        <rFont val="Arial Narrow"/>
        <family val="2"/>
      </rPr>
      <t>(4)</t>
    </r>
  </si>
  <si>
    <r>
      <t xml:space="preserve">Riscos </t>
    </r>
    <r>
      <rPr>
        <b/>
        <vertAlign val="superscript"/>
        <sz val="14"/>
        <rFont val="Arial Narrow"/>
        <family val="2"/>
      </rPr>
      <t>(5)</t>
    </r>
  </si>
  <si>
    <r>
      <t xml:space="preserve">ISS </t>
    </r>
    <r>
      <rPr>
        <b/>
        <vertAlign val="superscript"/>
        <sz val="14"/>
        <rFont val="Arial Narrow"/>
        <family val="2"/>
      </rPr>
      <t>(6)</t>
    </r>
  </si>
  <si>
    <r>
      <t xml:space="preserve">PIS </t>
    </r>
    <r>
      <rPr>
        <b/>
        <vertAlign val="superscript"/>
        <sz val="14"/>
        <rFont val="Arial Narrow"/>
        <family val="2"/>
      </rPr>
      <t>(7)</t>
    </r>
  </si>
  <si>
    <r>
      <t xml:space="preserve">COFINS </t>
    </r>
    <r>
      <rPr>
        <b/>
        <vertAlign val="superscript"/>
        <sz val="14"/>
        <rFont val="Arial Narrow"/>
        <family val="2"/>
      </rPr>
      <t>(8)</t>
    </r>
  </si>
  <si>
    <r>
      <t xml:space="preserve">CPRB </t>
    </r>
    <r>
      <rPr>
        <b/>
        <vertAlign val="superscript"/>
        <sz val="14"/>
        <rFont val="Arial Narrow"/>
        <family val="2"/>
      </rPr>
      <t>(9)</t>
    </r>
  </si>
  <si>
    <r>
      <t xml:space="preserve">Resultado </t>
    </r>
    <r>
      <rPr>
        <b/>
        <vertAlign val="superscript"/>
        <sz val="14"/>
        <rFont val="Arial Narrow"/>
        <family val="2"/>
      </rPr>
      <t>(*)</t>
    </r>
  </si>
  <si>
    <t>3,00%</t>
  </si>
  <si>
    <t>6,16%</t>
  </si>
  <si>
    <t>1,13%</t>
  </si>
  <si>
    <t>0,12%</t>
  </si>
  <si>
    <t>0,97%</t>
  </si>
  <si>
    <t>2,40%</t>
  </si>
  <si>
    <t>0,65%</t>
  </si>
  <si>
    <t>4,50%</t>
  </si>
  <si>
    <t>24,93%</t>
  </si>
  <si>
    <r>
      <rPr>
        <b/>
        <vertAlign val="superscript"/>
        <sz val="12"/>
        <color rgb="FF000000"/>
        <rFont val="Arial Narrow"/>
        <family val="2"/>
      </rPr>
      <t>(1)</t>
    </r>
    <r>
      <rPr>
        <sz val="12"/>
        <color rgb="FF000000"/>
        <rFont val="Arial Narrow"/>
        <family val="2"/>
      </rPr>
      <t xml:space="preserve"> Valores definidos a partir dos limites no Acórdão nº 2.622/2013 - TCU – Plenário. Valores 1° quartil.</t>
    </r>
  </si>
  <si>
    <r>
      <rPr>
        <b/>
        <vertAlign val="superscript"/>
        <sz val="12"/>
        <color rgb="FF000000"/>
        <rFont val="Arial Narrow"/>
        <family val="2"/>
      </rPr>
      <t>(2)</t>
    </r>
    <r>
      <rPr>
        <sz val="12"/>
        <color rgb="FF000000"/>
        <rFont val="Arial Narrow"/>
        <family val="2"/>
      </rPr>
      <t xml:space="preserve"> Valores definidos a partir dos limites definidos no Acórdão nº 2.622/2013 - TCU – Plenário.  Valores 1° quartil.</t>
    </r>
  </si>
  <si>
    <r>
      <rPr>
        <b/>
        <vertAlign val="superscript"/>
        <sz val="12"/>
        <color rgb="FF000000"/>
        <rFont val="Arial Narrow"/>
        <family val="2"/>
      </rPr>
      <t>(3)</t>
    </r>
    <r>
      <rPr>
        <sz val="12"/>
        <color rgb="FF000000"/>
        <rFont val="Arial Narrow"/>
        <family val="2"/>
      </rPr>
      <t xml:space="preserve"> Valor calculado pela expressão matemática do acórdão 2.369/2011 – TCU – Plenário. ((Foi utilizado o valor da Taxa SELIC em 01/09/2022, estabelecida pela 248 reunião do COPOM).</t>
    </r>
  </si>
  <si>
    <r>
      <rPr>
        <b/>
        <vertAlign val="superscript"/>
        <sz val="12"/>
        <color rgb="FF000000"/>
        <rFont val="Arial Narrow"/>
        <family val="2"/>
      </rPr>
      <t>(4)</t>
    </r>
    <r>
      <rPr>
        <sz val="12"/>
        <color rgb="FF000000"/>
        <rFont val="Arial Narrow"/>
        <family val="2"/>
      </rPr>
      <t xml:space="preserve"> Valores definidos a partir dos limites no Acórdão nº2.622/2013 - TCU – Plenário. Valores médios. (Seguros contra erros de execução, incêndio e explosão, danos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Apartir de 24/02/2015 por intermédio da Portaria 449/2015 a Presidência desta casa, na pessoa do Senhor Jayme Eduardo Rincon, determinou a exclusão dos valores referentes aos Seguros de Risco de Engenharia e Responsabilidade Civil do Profissional na composição do cálculo do B.D.I..</t>
    </r>
  </si>
  <si>
    <r>
      <rPr>
        <b/>
        <vertAlign val="superscript"/>
        <sz val="12"/>
        <color rgb="FF000000"/>
        <rFont val="Arial Narrow"/>
        <family val="2"/>
      </rPr>
      <t>(5)</t>
    </r>
    <r>
      <rPr>
        <sz val="12"/>
        <color rgb="FF000000"/>
        <rFont val="Arial Narrow"/>
        <family val="2"/>
      </rPr>
      <t xml:space="preserve"> Valores definidos a partir dos limites no Acórdão nº 2.622/2013 - TCU – Plenário. Valores 1º quartil.</t>
    </r>
  </si>
  <si>
    <r>
      <rPr>
        <b/>
        <vertAlign val="superscript"/>
        <sz val="12"/>
        <color rgb="FF000000"/>
        <rFont val="Arial Narrow"/>
        <family val="2"/>
      </rPr>
      <t>(6)</t>
    </r>
    <r>
      <rPr>
        <sz val="12"/>
        <color rgb="FF000000"/>
        <rFont val="Arial Narrow"/>
        <family val="2"/>
      </rPr>
      <t xml:space="preserve"> Alíquota e base de cálculo definida pela legislação municipal, Lei 3.952 de 16 de dezembro de 2021.</t>
    </r>
  </si>
  <si>
    <r>
      <rPr>
        <b/>
        <vertAlign val="superscript"/>
        <sz val="12"/>
        <color rgb="FF000000"/>
        <rFont val="Arial Narrow"/>
        <family val="2"/>
      </rPr>
      <t>(7)</t>
    </r>
    <r>
      <rPr>
        <sz val="12"/>
        <color rgb="FF000000"/>
        <rFont val="Arial Narrow"/>
        <family val="2"/>
      </rPr>
      <t xml:space="preserve"> Alíquota definida por lei (lucro presumido).</t>
    </r>
  </si>
  <si>
    <r>
      <rPr>
        <b/>
        <vertAlign val="superscript"/>
        <sz val="12"/>
        <color rgb="FF000000"/>
        <rFont val="Arial Narrow"/>
        <family val="2"/>
      </rPr>
      <t>(8)</t>
    </r>
    <r>
      <rPr>
        <sz val="12"/>
        <color rgb="FF000000"/>
        <rFont val="Arial Narrow"/>
        <family val="2"/>
      </rPr>
      <t xml:space="preserve"> Alíquota definida pelas leis 12.546/11, 12844/13 e 13.161/15 (CPRB – contribuição previdenciária sobre a receita bruta). Neste caso ela vai ser zerada, pois estes valores de BDI são para orçamentos onerados (INSS=20% nas leis sociais)</t>
    </r>
  </si>
  <si>
    <r>
      <rPr>
        <b/>
        <vertAlign val="superscript"/>
        <sz val="12"/>
        <color rgb="FF000000"/>
        <rFont val="Arial Narrow"/>
        <family val="2"/>
      </rPr>
      <t>(*)</t>
    </r>
    <r>
      <rPr>
        <sz val="12"/>
        <color rgb="FF000000"/>
        <rFont val="Arial Narrow"/>
        <family val="2"/>
      </rPr>
      <t xml:space="preserve"> A fórmula para estipulação da taxa de BDI estimado adotado é a mesma que foi aplicada para aobtenção das tabelas contidas no Acórdão n.2.622/2013 – TCU - Plenário.</t>
    </r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</si>
  <si>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</si>
  <si>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</si>
  <si>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</si>
  <si>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</si>
  <si>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</si>
  <si>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</t>
  </si>
  <si>
    <t>L = taxa de lucro/remuneração</t>
  </si>
  <si>
    <t>I = taxa de incidência de impostos (PIS, COFINS, CPRB e ISS)</t>
  </si>
  <si>
    <t xml:space="preserve">LEONARDO MARTINS DE CASTRO TEIXEIRA </t>
  </si>
  <si>
    <t>SECRETÁRIO MUNICIPAL DE OBRAS</t>
  </si>
  <si>
    <t>CREA 7455/D-GO</t>
  </si>
  <si>
    <t>____________________________________________________</t>
  </si>
  <si>
    <t>PISO EM CONCRETO DESEMPENADO ESPESSURA = 7 CM 1:2,5:3,5</t>
  </si>
  <si>
    <t>Mudas de moreia - 5 und por m2</t>
  </si>
  <si>
    <t>PINTURA TINTA POLIESPORTIVA - 2 DEMÃOS (PISOS E CIMENTADOS)</t>
  </si>
  <si>
    <t>Conforme item 7.1</t>
  </si>
  <si>
    <t>ESTRUTURA METÁLICA CONVENCIONAL EM AÇO DO TIPO MR-250 / ASTM A36 COM FUNDO ANTICORROSIVO</t>
  </si>
  <si>
    <t>12.13</t>
  </si>
  <si>
    <t>12.14</t>
  </si>
  <si>
    <t>Peso total</t>
  </si>
  <si>
    <t>Massa linear aço</t>
  </si>
  <si>
    <t>LEONARDO MARTINS DE CASTRO TEIXEIRA</t>
  </si>
  <si>
    <t xml:space="preserve"> ____________________________________________________</t>
  </si>
  <si>
    <t xml:space="preserve">RESPONSABILIDADE TÉCNICA:                       </t>
  </si>
  <si>
    <t>______________________________________________________________________</t>
  </si>
  <si>
    <t xml:space="preserve">Total = (A x B) </t>
  </si>
  <si>
    <t>Suporte para passarela</t>
  </si>
  <si>
    <t>02 DE MAIO DE 2023</t>
  </si>
  <si>
    <t>4.4</t>
  </si>
  <si>
    <t>PREPARO COM BETONEIRA E TRANSPORTE MANUAL DE CONCRETO FCK=20 MPA - (O.C.)</t>
  </si>
  <si>
    <t>Concreto para regularização de terreno próximo ao canal</t>
  </si>
  <si>
    <t>4.5</t>
  </si>
  <si>
    <t>LASTRO DE BRITA (OBRAS CIVIS)</t>
  </si>
  <si>
    <t>Espessura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</si>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</sst>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&quot;R$&quot;\ #,##0.00"/>
    <numFmt numFmtId="167" formatCode="0.0000"/>
    <numFmt numFmtId="168" formatCode="[$-F800]dddd\,\ mmmm\ dd\,\ yyyy"/>
    <numFmt numFmtId="169" formatCode="0.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1"/>
      <color theme="0" tint="-0.499984740745262"/>
      <name val="Arial"/>
      <family val="2"/>
    </font>
    <font>
      <b/>
      <sz val="11"/>
      <color rgb="FF000000"/>
      <name val="Arial Narrow"/>
      <family val="2"/>
    </font>
    <font>
      <b/>
      <sz val="16"/>
      <color rgb="FF000000"/>
      <name val="Arial Narrow"/>
      <family val="2"/>
    </font>
    <font>
      <sz val="11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sz val="14"/>
      <name val="Arial Narrow"/>
      <family val="2"/>
    </font>
    <font>
      <b/>
      <vertAlign val="superscript"/>
      <sz val="14"/>
      <name val="Arial Narrow"/>
      <family val="2"/>
    </font>
    <font>
      <sz val="16"/>
      <name val="Arial Narrow"/>
      <family val="2"/>
    </font>
    <font>
      <b/>
      <sz val="16"/>
      <name val="Arial Narrow"/>
      <family val="2"/>
    </font>
    <font>
      <sz val="9"/>
      <color rgb="FF000000"/>
      <name val="Arial Narrow"/>
      <family val="2"/>
    </font>
    <font>
      <b/>
      <vertAlign val="superscript"/>
      <sz val="12"/>
      <color rgb="FF000000"/>
      <name val="Arial Narrow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165" fontId="3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40">
    <xf numFmtId="0" fontId="0" fillId="0" borderId="0" xfId="0"/>
    <xf numFmtId="0" fontId="8" fillId="0" borderId="0" xfId="0" applyFont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left" vertical="center"/>
    </xf>
    <xf numFmtId="0" fontId="8" fillId="0" borderId="0" xfId="0" applyFont="1" applyFill="1" applyProtection="1"/>
    <xf numFmtId="168" fontId="6" fillId="3" borderId="0" xfId="0" applyNumberFormat="1" applyFont="1" applyFill="1" applyBorder="1" applyAlignment="1" applyProtection="1">
      <alignment horizontal="left" vertical="center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left" vertical="center" wrapText="1"/>
    </xf>
    <xf numFmtId="2" fontId="6" fillId="0" borderId="34" xfId="0" applyNumberFormat="1" applyFont="1" applyBorder="1" applyAlignment="1" applyProtection="1">
      <alignment horizontal="center" vertical="center"/>
    </xf>
    <xf numFmtId="0" fontId="6" fillId="0" borderId="38" xfId="0" applyFont="1" applyFill="1" applyBorder="1" applyAlignment="1" applyProtection="1">
      <alignment horizontal="left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left" vertical="center" wrapText="1"/>
    </xf>
    <xf numFmtId="2" fontId="6" fillId="0" borderId="0" xfId="0" applyNumberFormat="1" applyFont="1" applyAlignment="1" applyProtection="1">
      <alignment horizontal="center" vertical="center"/>
    </xf>
    <xf numFmtId="0" fontId="6" fillId="0" borderId="34" xfId="0" applyFont="1" applyBorder="1" applyAlignment="1" applyProtection="1">
      <alignment horizontal="left" vertical="center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left" vertical="center" wrapText="1"/>
    </xf>
    <xf numFmtId="2" fontId="6" fillId="0" borderId="34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8" fillId="0" borderId="0" xfId="0" applyFont="1"/>
    <xf numFmtId="0" fontId="7" fillId="2" borderId="12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left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left" vertical="center" wrapText="1"/>
    </xf>
    <xf numFmtId="166" fontId="6" fillId="0" borderId="34" xfId="4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 applyProtection="1">
      <alignment horizontal="center" vertical="center" wrapText="1"/>
    </xf>
    <xf numFmtId="0" fontId="1" fillId="0" borderId="34" xfId="0" applyFont="1" applyFill="1" applyBorder="1" applyAlignment="1" applyProtection="1">
      <alignment horizontal="left" vertical="center" wrapText="1"/>
    </xf>
    <xf numFmtId="2" fontId="1" fillId="0" borderId="34" xfId="0" applyNumberFormat="1" applyFont="1" applyFill="1" applyBorder="1" applyAlignment="1" applyProtection="1">
      <alignment horizontal="center" vertical="center"/>
    </xf>
    <xf numFmtId="0" fontId="1" fillId="0" borderId="34" xfId="0" applyFont="1" applyFill="1" applyBorder="1" applyAlignment="1" applyProtection="1">
      <alignment horizontal="center" vertical="center"/>
    </xf>
    <xf numFmtId="166" fontId="1" fillId="0" borderId="34" xfId="4" applyNumberFormat="1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wrapText="1"/>
    </xf>
    <xf numFmtId="4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wrapText="1"/>
    </xf>
    <xf numFmtId="168" fontId="6" fillId="0" borderId="20" xfId="0" applyNumberFormat="1" applyFont="1" applyBorder="1" applyAlignment="1" applyProtection="1"/>
    <xf numFmtId="0" fontId="7" fillId="0" borderId="20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/>
    <xf numFmtId="0" fontId="7" fillId="2" borderId="40" xfId="0" applyFont="1" applyFill="1" applyBorder="1" applyAlignment="1" applyProtection="1">
      <alignment horizontal="center" vertical="center"/>
    </xf>
    <xf numFmtId="0" fontId="7" fillId="2" borderId="31" xfId="0" applyFont="1" applyFill="1" applyBorder="1" applyAlignment="1" applyProtection="1"/>
    <xf numFmtId="0" fontId="7" fillId="0" borderId="12" xfId="0" applyFont="1" applyFill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left" vertical="center" wrapText="1"/>
    </xf>
    <xf numFmtId="2" fontId="7" fillId="5" borderId="35" xfId="0" applyNumberFormat="1" applyFont="1" applyFill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vertical="center" wrapText="1"/>
    </xf>
    <xf numFmtId="2" fontId="7" fillId="0" borderId="38" xfId="0" applyNumberFormat="1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vertical="center" wrapText="1"/>
    </xf>
    <xf numFmtId="2" fontId="6" fillId="0" borderId="34" xfId="0" applyNumberFormat="1" applyFont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vertical="center" wrapText="1"/>
    </xf>
    <xf numFmtId="2" fontId="6" fillId="0" borderId="39" xfId="0" applyNumberFormat="1" applyFont="1" applyFill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vertical="center" wrapText="1"/>
    </xf>
    <xf numFmtId="0" fontId="7" fillId="0" borderId="34" xfId="0" applyFont="1" applyBorder="1" applyAlignment="1" applyProtection="1">
      <alignment horizontal="center" vertical="center" wrapText="1"/>
    </xf>
    <xf numFmtId="0" fontId="6" fillId="0" borderId="43" xfId="0" applyFont="1" applyBorder="1" applyAlignment="1" applyProtection="1">
      <alignment horizontal="center" vertical="center"/>
    </xf>
    <xf numFmtId="2" fontId="7" fillId="0" borderId="34" xfId="0" applyNumberFormat="1" applyFont="1" applyBorder="1" applyAlignment="1" applyProtection="1">
      <alignment horizontal="center" vertical="center" wrapText="1"/>
    </xf>
    <xf numFmtId="0" fontId="6" fillId="0" borderId="45" xfId="0" applyFont="1" applyBorder="1" applyAlignment="1" applyProtection="1">
      <alignment horizontal="center" vertical="center" wrapText="1"/>
    </xf>
    <xf numFmtId="2" fontId="6" fillId="0" borderId="39" xfId="0" applyNumberFormat="1" applyFont="1" applyBorder="1" applyAlignment="1" applyProtection="1">
      <alignment horizontal="center" vertical="center" wrapText="1"/>
    </xf>
    <xf numFmtId="0" fontId="9" fillId="3" borderId="34" xfId="0" applyFont="1" applyFill="1" applyBorder="1" applyAlignment="1" applyProtection="1">
      <alignment horizontal="center" vertical="center" wrapText="1"/>
    </xf>
    <xf numFmtId="0" fontId="10" fillId="3" borderId="0" xfId="0" applyFont="1" applyFill="1" applyProtection="1"/>
    <xf numFmtId="2" fontId="6" fillId="3" borderId="39" xfId="0" applyNumberFormat="1" applyFont="1" applyFill="1" applyBorder="1" applyAlignment="1" applyProtection="1">
      <alignment horizontal="center" vertical="center" wrapText="1"/>
    </xf>
    <xf numFmtId="2" fontId="7" fillId="3" borderId="39" xfId="0" applyNumberFormat="1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/>
    <xf numFmtId="0" fontId="6" fillId="0" borderId="34" xfId="0" applyFont="1" applyBorder="1" applyAlignment="1">
      <alignment horizontal="center" vertical="center"/>
    </xf>
    <xf numFmtId="2" fontId="6" fillId="0" borderId="39" xfId="0" applyNumberFormat="1" applyFont="1" applyFill="1" applyBorder="1" applyAlignment="1">
      <alignment horizontal="left" vertical="center" wrapText="1"/>
    </xf>
    <xf numFmtId="2" fontId="6" fillId="0" borderId="39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2" fontId="7" fillId="0" borderId="39" xfId="0" applyNumberFormat="1" applyFont="1" applyBorder="1" applyAlignment="1" applyProtection="1">
      <alignment horizontal="center" vertical="center" wrapText="1"/>
    </xf>
    <xf numFmtId="2" fontId="7" fillId="2" borderId="12" xfId="0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/>
    </xf>
    <xf numFmtId="0" fontId="6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6" fillId="0" borderId="5" xfId="0" applyFont="1" applyBorder="1"/>
    <xf numFmtId="0" fontId="7" fillId="0" borderId="4" xfId="0" applyFont="1" applyBorder="1"/>
    <xf numFmtId="0" fontId="6" fillId="0" borderId="0" xfId="0" applyFont="1" applyBorder="1" applyAlignment="1"/>
    <xf numFmtId="0" fontId="6" fillId="0" borderId="5" xfId="0" applyFont="1" applyBorder="1" applyAlignment="1"/>
    <xf numFmtId="0" fontId="7" fillId="0" borderId="19" xfId="0" applyFont="1" applyBorder="1"/>
    <xf numFmtId="0" fontId="7" fillId="5" borderId="7" xfId="0" applyFont="1" applyFill="1" applyBorder="1" applyAlignment="1">
      <alignment horizontal="center"/>
    </xf>
    <xf numFmtId="44" fontId="6" fillId="0" borderId="10" xfId="3" applyNumberFormat="1" applyFont="1" applyBorder="1" applyAlignment="1">
      <alignment horizontal="center"/>
    </xf>
    <xf numFmtId="10" fontId="8" fillId="0" borderId="0" xfId="0" applyNumberFormat="1" applyFont="1"/>
    <xf numFmtId="10" fontId="8" fillId="0" borderId="0" xfId="3" applyNumberFormat="1" applyFont="1"/>
    <xf numFmtId="44" fontId="6" fillId="0" borderId="15" xfId="4" applyFont="1" applyFill="1" applyBorder="1"/>
    <xf numFmtId="44" fontId="8" fillId="0" borderId="0" xfId="0" applyNumberFormat="1" applyFont="1"/>
    <xf numFmtId="44" fontId="7" fillId="0" borderId="6" xfId="4" applyFont="1" applyBorder="1"/>
    <xf numFmtId="44" fontId="6" fillId="0" borderId="15" xfId="4" applyFont="1" applyBorder="1"/>
    <xf numFmtId="0" fontId="6" fillId="0" borderId="15" xfId="0" applyFont="1" applyBorder="1"/>
    <xf numFmtId="44" fontId="6" fillId="0" borderId="9" xfId="3" applyNumberFormat="1" applyFont="1" applyBorder="1" applyAlignment="1">
      <alignment horizontal="center"/>
    </xf>
    <xf numFmtId="0" fontId="6" fillId="0" borderId="36" xfId="0" applyFont="1" applyBorder="1"/>
    <xf numFmtId="0" fontId="7" fillId="0" borderId="16" xfId="0" applyFont="1" applyBorder="1" applyAlignment="1">
      <alignment horizontal="center" vertical="center"/>
    </xf>
    <xf numFmtId="10" fontId="6" fillId="0" borderId="7" xfId="3" applyNumberFormat="1" applyFont="1" applyBorder="1" applyAlignment="1">
      <alignment horizontal="center"/>
    </xf>
    <xf numFmtId="10" fontId="6" fillId="0" borderId="7" xfId="0" applyNumberFormat="1" applyFont="1" applyBorder="1" applyAlignment="1">
      <alignment horizontal="center"/>
    </xf>
    <xf numFmtId="0" fontId="7" fillId="0" borderId="19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horizontal="left"/>
    </xf>
    <xf numFmtId="166" fontId="6" fillId="0" borderId="7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10" fontId="6" fillId="0" borderId="8" xfId="3" applyNumberFormat="1" applyFont="1" applyBorder="1" applyAlignment="1">
      <alignment horizontal="center"/>
    </xf>
    <xf numFmtId="10" fontId="6" fillId="0" borderId="8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6" fontId="6" fillId="0" borderId="49" xfId="0" applyNumberFormat="1" applyFont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6" fillId="0" borderId="0" xfId="0" applyNumberFormat="1" applyFont="1" applyFill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2" fontId="9" fillId="0" borderId="39" xfId="0" applyNumberFormat="1" applyFont="1" applyBorder="1" applyAlignment="1" applyProtection="1">
      <alignment horizontal="center" vertical="center" wrapText="1"/>
    </xf>
    <xf numFmtId="0" fontId="1" fillId="0" borderId="34" xfId="0" applyFont="1" applyBorder="1" applyAlignment="1" applyProtection="1">
      <alignment vertical="center" wrapText="1"/>
    </xf>
    <xf numFmtId="2" fontId="1" fillId="3" borderId="39" xfId="0" applyNumberFormat="1" applyFont="1" applyFill="1" applyBorder="1" applyAlignment="1" applyProtection="1">
      <alignment horizontal="center" vertical="center" wrapText="1"/>
    </xf>
    <xf numFmtId="2" fontId="1" fillId="0" borderId="39" xfId="0" applyNumberFormat="1" applyFont="1" applyBorder="1" applyAlignment="1" applyProtection="1">
      <alignment horizontal="center" vertical="center" wrapText="1"/>
    </xf>
    <xf numFmtId="2" fontId="9" fillId="5" borderId="35" xfId="0" applyNumberFormat="1" applyFont="1" applyFill="1" applyBorder="1" applyAlignment="1" applyProtection="1">
      <alignment horizontal="center" vertical="center"/>
    </xf>
    <xf numFmtId="0" fontId="6" fillId="0" borderId="44" xfId="0" applyFont="1" applyBorder="1" applyAlignment="1" applyProtection="1">
      <alignment vertical="center" wrapText="1"/>
    </xf>
    <xf numFmtId="0" fontId="1" fillId="0" borderId="38" xfId="0" applyFont="1" applyFill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left" vertical="center"/>
    </xf>
    <xf numFmtId="0" fontId="9" fillId="0" borderId="0" xfId="0" applyFont="1"/>
    <xf numFmtId="2" fontId="9" fillId="0" borderId="34" xfId="0" applyNumberFormat="1" applyFont="1" applyBorder="1" applyAlignment="1" applyProtection="1">
      <alignment horizontal="center" vertical="center" wrapText="1"/>
    </xf>
    <xf numFmtId="167" fontId="6" fillId="0" borderId="39" xfId="0" applyNumberFormat="1" applyFont="1" applyBorder="1" applyAlignment="1" applyProtection="1">
      <alignment horizontal="center" vertical="center" wrapText="1"/>
    </xf>
    <xf numFmtId="10" fontId="1" fillId="0" borderId="10" xfId="3" applyNumberFormat="1" applyFont="1" applyBorder="1" applyAlignment="1"/>
    <xf numFmtId="10" fontId="1" fillId="0" borderId="49" xfId="3" applyNumberFormat="1" applyFont="1" applyBorder="1" applyAlignment="1"/>
    <xf numFmtId="0" fontId="1" fillId="3" borderId="15" xfId="0" applyFont="1" applyFill="1" applyBorder="1" applyAlignment="1"/>
    <xf numFmtId="0" fontId="1" fillId="3" borderId="51" xfId="0" applyFont="1" applyFill="1" applyBorder="1" applyAlignment="1"/>
    <xf numFmtId="44" fontId="1" fillId="0" borderId="6" xfId="4" applyFont="1" applyFill="1" applyBorder="1" applyAlignment="1"/>
    <xf numFmtId="44" fontId="1" fillId="0" borderId="52" xfId="4" applyFont="1" applyFill="1" applyBorder="1" applyAlignment="1"/>
    <xf numFmtId="10" fontId="1" fillId="0" borderId="10" xfId="3" applyNumberFormat="1" applyFont="1" applyFill="1" applyBorder="1" applyAlignment="1">
      <alignment vertical="center"/>
    </xf>
    <xf numFmtId="10" fontId="1" fillId="0" borderId="49" xfId="3" applyNumberFormat="1" applyFont="1" applyFill="1" applyBorder="1" applyAlignment="1">
      <alignment vertical="center"/>
    </xf>
    <xf numFmtId="0" fontId="13" fillId="0" borderId="0" xfId="0" applyFont="1" applyProtection="1"/>
    <xf numFmtId="44" fontId="13" fillId="0" borderId="0" xfId="0" applyNumberFormat="1" applyFont="1" applyProtection="1"/>
    <xf numFmtId="0" fontId="13" fillId="0" borderId="0" xfId="0" applyFont="1" applyFill="1" applyProtection="1"/>
    <xf numFmtId="0" fontId="8" fillId="0" borderId="0" xfId="0" quotePrefix="1" applyFont="1" applyProtection="1"/>
    <xf numFmtId="0" fontId="6" fillId="0" borderId="0" xfId="0" applyFont="1" applyFill="1" applyBorder="1" applyAlignment="1" applyProtection="1">
      <alignment vertical="center"/>
    </xf>
    <xf numFmtId="0" fontId="7" fillId="0" borderId="53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7" xfId="0" applyFont="1" applyFill="1" applyBorder="1" applyAlignment="1" applyProtection="1">
      <alignment horizontal="left" vertical="center"/>
    </xf>
    <xf numFmtId="2" fontId="8" fillId="0" borderId="0" xfId="0" applyNumberFormat="1" applyFont="1" applyProtection="1"/>
    <xf numFmtId="0" fontId="6" fillId="0" borderId="38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vertical="center" wrapText="1"/>
    </xf>
    <xf numFmtId="2" fontId="6" fillId="0" borderId="38" xfId="0" applyNumberFormat="1" applyFont="1" applyBorder="1" applyAlignment="1" applyProtection="1">
      <alignment horizontal="center" vertical="center"/>
    </xf>
    <xf numFmtId="0" fontId="6" fillId="0" borderId="46" xfId="0" applyFont="1" applyBorder="1" applyAlignment="1" applyProtection="1">
      <alignment vertical="center" wrapText="1"/>
    </xf>
    <xf numFmtId="2" fontId="6" fillId="3" borderId="34" xfId="0" applyNumberFormat="1" applyFont="1" applyFill="1" applyBorder="1" applyAlignment="1" applyProtection="1">
      <alignment horizontal="center" vertical="center" wrapText="1"/>
    </xf>
    <xf numFmtId="166" fontId="6" fillId="0" borderId="0" xfId="4" applyNumberFormat="1" applyFont="1" applyAlignment="1" applyProtection="1">
      <alignment horizontal="center" vertical="center"/>
    </xf>
    <xf numFmtId="166" fontId="7" fillId="0" borderId="0" xfId="4" applyNumberFormat="1" applyFont="1" applyBorder="1" applyAlignment="1" applyProtection="1">
      <alignment horizontal="center" vertical="center"/>
    </xf>
    <xf numFmtId="166" fontId="6" fillId="0" borderId="0" xfId="4" applyNumberFormat="1" applyFont="1" applyBorder="1" applyAlignment="1" applyProtection="1">
      <alignment horizontal="center" vertical="center"/>
    </xf>
    <xf numFmtId="166" fontId="6" fillId="0" borderId="34" xfId="4" applyNumberFormat="1" applyFont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 applyProtection="1">
      <alignment horizontal="left" vertical="center"/>
    </xf>
    <xf numFmtId="166" fontId="13" fillId="0" borderId="0" xfId="0" applyNumberFormat="1" applyFont="1" applyProtection="1"/>
    <xf numFmtId="169" fontId="6" fillId="0" borderId="39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/>
    <xf numFmtId="0" fontId="14" fillId="0" borderId="3" xfId="0" applyFont="1" applyFill="1" applyBorder="1" applyAlignment="1"/>
    <xf numFmtId="0" fontId="16" fillId="0" borderId="0" xfId="0" applyFont="1" applyFill="1" applyBorder="1"/>
    <xf numFmtId="0" fontId="14" fillId="0" borderId="4" xfId="0" applyFont="1" applyFill="1" applyBorder="1" applyAlignment="1"/>
    <xf numFmtId="0" fontId="14" fillId="0" borderId="5" xfId="0" applyFont="1" applyFill="1" applyBorder="1" applyAlignment="1"/>
    <xf numFmtId="0" fontId="17" fillId="0" borderId="4" xfId="0" applyFont="1" applyFill="1" applyBorder="1" applyAlignment="1"/>
    <xf numFmtId="0" fontId="17" fillId="0" borderId="5" xfId="0" applyFont="1" applyFill="1" applyBorder="1" applyAlignment="1"/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center"/>
    </xf>
    <xf numFmtId="0" fontId="17" fillId="0" borderId="20" xfId="0" applyFont="1" applyFill="1" applyBorder="1" applyAlignment="1"/>
    <xf numFmtId="0" fontId="18" fillId="0" borderId="20" xfId="0" applyFont="1" applyFill="1" applyBorder="1" applyAlignment="1">
      <alignment horizontal="left"/>
    </xf>
    <xf numFmtId="0" fontId="17" fillId="0" borderId="20" xfId="0" applyFont="1" applyFill="1" applyBorder="1" applyAlignment="1">
      <alignment horizontal="center"/>
    </xf>
    <xf numFmtId="0" fontId="19" fillId="0" borderId="5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wrapText="1"/>
    </xf>
    <xf numFmtId="49" fontId="21" fillId="0" borderId="29" xfId="7" applyNumberFormat="1" applyFont="1" applyFill="1" applyBorder="1" applyAlignment="1">
      <alignment horizontal="center" vertical="center"/>
    </xf>
    <xf numFmtId="49" fontId="21" fillId="0" borderId="30" xfId="7" applyNumberFormat="1" applyFont="1" applyFill="1" applyBorder="1" applyAlignment="1">
      <alignment horizontal="center" vertical="center"/>
    </xf>
    <xf numFmtId="49" fontId="22" fillId="0" borderId="28" xfId="7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0" fontId="23" fillId="0" borderId="4" xfId="0" applyFont="1" applyFill="1" applyBorder="1"/>
    <xf numFmtId="0" fontId="16" fillId="0" borderId="5" xfId="0" applyFont="1" applyFill="1" applyBorder="1"/>
    <xf numFmtId="0" fontId="16" fillId="0" borderId="0" xfId="0" applyFont="1" applyFill="1" applyBorder="1" applyAlignment="1">
      <alignment wrapText="1"/>
    </xf>
    <xf numFmtId="0" fontId="18" fillId="0" borderId="0" xfId="0" applyFont="1" applyFill="1" applyBorder="1"/>
    <xf numFmtId="2" fontId="18" fillId="0" borderId="0" xfId="0" applyNumberFormat="1" applyFont="1" applyFill="1" applyBorder="1" applyAlignment="1">
      <alignment horizontal="center"/>
    </xf>
    <xf numFmtId="166" fontId="18" fillId="0" borderId="0" xfId="0" applyNumberFormat="1" applyFont="1" applyFill="1" applyBorder="1"/>
    <xf numFmtId="166" fontId="18" fillId="0" borderId="0" xfId="0" applyNumberFormat="1" applyFont="1" applyFill="1" applyBorder="1" applyAlignment="1">
      <alignment horizontal="center"/>
    </xf>
    <xf numFmtId="0" fontId="18" fillId="0" borderId="5" xfId="0" applyFont="1" applyFill="1" applyBorder="1"/>
    <xf numFmtId="166" fontId="17" fillId="0" borderId="0" xfId="0" applyNumberFormat="1" applyFont="1" applyFill="1" applyBorder="1" applyAlignment="1">
      <alignment horizontal="center"/>
    </xf>
    <xf numFmtId="166" fontId="17" fillId="0" borderId="20" xfId="0" applyNumberFormat="1" applyFont="1" applyFill="1" applyBorder="1" applyAlignment="1">
      <alignment horizontal="center"/>
    </xf>
    <xf numFmtId="0" fontId="18" fillId="0" borderId="20" xfId="0" applyFont="1" applyFill="1" applyBorder="1"/>
    <xf numFmtId="0" fontId="18" fillId="0" borderId="21" xfId="0" applyFont="1" applyFill="1" applyBorder="1"/>
    <xf numFmtId="0" fontId="18" fillId="0" borderId="0" xfId="0" applyFont="1" applyFill="1" applyBorder="1" applyAlignment="1">
      <alignment wrapText="1"/>
    </xf>
    <xf numFmtId="0" fontId="18" fillId="0" borderId="5" xfId="0" applyFont="1" applyFill="1" applyBorder="1" applyAlignment="1">
      <alignment wrapText="1"/>
    </xf>
    <xf numFmtId="2" fontId="7" fillId="0" borderId="53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6" fillId="0" borderId="39" xfId="0" applyFont="1" applyBorder="1" applyAlignment="1" applyProtection="1">
      <alignment horizontal="center" vertical="center"/>
    </xf>
    <xf numFmtId="2" fontId="6" fillId="0" borderId="39" xfId="0" applyNumberFormat="1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10" fontId="6" fillId="0" borderId="0" xfId="0" applyNumberFormat="1" applyFont="1" applyBorder="1" applyAlignment="1" applyProtection="1">
      <alignment horizontal="left" vertical="center"/>
    </xf>
    <xf numFmtId="0" fontId="6" fillId="0" borderId="56" xfId="0" applyFont="1" applyBorder="1" applyAlignment="1" applyProtection="1">
      <alignment horizontal="center" vertical="center"/>
    </xf>
    <xf numFmtId="44" fontId="6" fillId="0" borderId="57" xfId="4" applyFont="1" applyBorder="1" applyAlignment="1" applyProtection="1">
      <alignment horizontal="center" vertical="center"/>
    </xf>
    <xf numFmtId="0" fontId="6" fillId="0" borderId="58" xfId="0" applyFont="1" applyBorder="1" applyAlignment="1" applyProtection="1">
      <alignment horizontal="center" vertical="center"/>
    </xf>
    <xf numFmtId="44" fontId="6" fillId="0" borderId="59" xfId="4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horizontal="center" vertical="center"/>
    </xf>
    <xf numFmtId="2" fontId="6" fillId="0" borderId="62" xfId="0" applyNumberFormat="1" applyFont="1" applyBorder="1" applyAlignment="1" applyProtection="1">
      <alignment horizontal="center" vertical="center"/>
    </xf>
    <xf numFmtId="44" fontId="6" fillId="0" borderId="63" xfId="4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44" fontId="6" fillId="0" borderId="65" xfId="4" applyFont="1" applyBorder="1" applyAlignment="1" applyProtection="1">
      <alignment horizontal="center" vertical="center"/>
    </xf>
    <xf numFmtId="0" fontId="7" fillId="5" borderId="22" xfId="0" applyFont="1" applyFill="1" applyBorder="1" applyAlignment="1" applyProtection="1">
      <alignment vertical="center"/>
    </xf>
    <xf numFmtId="166" fontId="7" fillId="2" borderId="7" xfId="4" applyNumberFormat="1" applyFont="1" applyFill="1" applyBorder="1" applyAlignment="1" applyProtection="1">
      <alignment horizontal="center" vertical="center"/>
    </xf>
    <xf numFmtId="2" fontId="7" fillId="2" borderId="7" xfId="0" applyNumberFormat="1" applyFont="1" applyFill="1" applyBorder="1" applyAlignment="1" applyProtection="1">
      <alignment horizontal="center" vertical="center"/>
    </xf>
    <xf numFmtId="2" fontId="7" fillId="2" borderId="6" xfId="0" applyNumberFormat="1" applyFont="1" applyFill="1" applyBorder="1" applyAlignment="1" applyProtection="1">
      <alignment horizontal="center" vertical="center"/>
    </xf>
    <xf numFmtId="0" fontId="7" fillId="2" borderId="17" xfId="0" applyFont="1" applyFill="1" applyBorder="1" applyAlignment="1" applyProtection="1">
      <alignment horizontal="center" vertical="center"/>
    </xf>
    <xf numFmtId="166" fontId="7" fillId="2" borderId="6" xfId="4" applyNumberFormat="1" applyFont="1" applyFill="1" applyBorder="1" applyAlignment="1" applyProtection="1">
      <alignment horizontal="center" vertical="center"/>
    </xf>
    <xf numFmtId="166" fontId="7" fillId="2" borderId="17" xfId="4" applyNumberFormat="1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center" vertical="center"/>
    </xf>
    <xf numFmtId="44" fontId="6" fillId="0" borderId="66" xfId="4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left" vertical="center" wrapText="1"/>
    </xf>
    <xf numFmtId="0" fontId="6" fillId="0" borderId="39" xfId="0" applyFont="1" applyBorder="1" applyAlignment="1" applyProtection="1">
      <alignment horizontal="left" vertical="center" wrapText="1"/>
    </xf>
    <xf numFmtId="0" fontId="6" fillId="0" borderId="62" xfId="0" applyFont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/>
    </xf>
    <xf numFmtId="0" fontId="7" fillId="5" borderId="7" xfId="0" applyFont="1" applyFill="1" applyBorder="1" applyAlignment="1" applyProtection="1">
      <alignment vertical="center"/>
    </xf>
    <xf numFmtId="0" fontId="6" fillId="0" borderId="60" xfId="0" applyFont="1" applyBorder="1" applyAlignment="1">
      <alignment wrapText="1"/>
    </xf>
    <xf numFmtId="166" fontId="7" fillId="5" borderId="55" xfId="4" applyNumberFormat="1" applyFont="1" applyFill="1" applyBorder="1" applyAlignment="1" applyProtection="1">
      <alignment horizontal="center" vertical="center"/>
    </xf>
    <xf numFmtId="166" fontId="7" fillId="5" borderId="7" xfId="4" applyNumberFormat="1" applyFont="1" applyFill="1" applyBorder="1" applyAlignment="1" applyProtection="1">
      <alignment horizontal="center" vertical="center"/>
    </xf>
    <xf numFmtId="166" fontId="7" fillId="5" borderId="6" xfId="4" applyNumberFormat="1" applyFont="1" applyFill="1" applyBorder="1" applyAlignment="1" applyProtection="1">
      <alignment horizontal="center" vertical="center"/>
    </xf>
    <xf numFmtId="166" fontId="7" fillId="4" borderId="7" xfId="0" applyNumberFormat="1" applyFont="1" applyFill="1" applyBorder="1" applyAlignment="1" applyProtection="1">
      <alignment horizontal="center" vertical="center"/>
    </xf>
    <xf numFmtId="166" fontId="7" fillId="4" borderId="55" xfId="0" applyNumberFormat="1" applyFont="1" applyFill="1" applyBorder="1" applyAlignment="1" applyProtection="1">
      <alignment horizontal="center" vertical="center"/>
    </xf>
    <xf numFmtId="0" fontId="8" fillId="0" borderId="36" xfId="0" applyFont="1" applyBorder="1" applyProtection="1"/>
    <xf numFmtId="0" fontId="8" fillId="0" borderId="36" xfId="0" applyFont="1" applyFill="1" applyBorder="1" applyProtection="1"/>
    <xf numFmtId="166" fontId="7" fillId="0" borderId="36" xfId="0" applyNumberFormat="1" applyFont="1" applyBorder="1" applyAlignment="1" applyProtection="1">
      <alignment horizontal="center" vertical="center"/>
    </xf>
    <xf numFmtId="166" fontId="7" fillId="0" borderId="36" xfId="0" applyNumberFormat="1" applyFont="1" applyFill="1" applyBorder="1" applyAlignment="1" applyProtection="1">
      <alignment horizontal="center" vertical="center"/>
    </xf>
    <xf numFmtId="10" fontId="6" fillId="0" borderId="17" xfId="0" applyNumberFormat="1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/>
    </xf>
    <xf numFmtId="166" fontId="6" fillId="0" borderId="17" xfId="4" applyNumberFormat="1" applyFont="1" applyFill="1" applyBorder="1" applyAlignment="1" applyProtection="1">
      <alignment horizontal="center" vertical="center"/>
    </xf>
    <xf numFmtId="166" fontId="7" fillId="0" borderId="17" xfId="4" applyNumberFormat="1" applyFont="1" applyFill="1" applyBorder="1" applyAlignment="1" applyProtection="1">
      <alignment horizontal="center"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10" fontId="6" fillId="0" borderId="14" xfId="0" applyNumberFormat="1" applyFont="1" applyBorder="1" applyAlignment="1" applyProtection="1">
      <alignment horizontal="left" vertical="center"/>
    </xf>
    <xf numFmtId="166" fontId="6" fillId="0" borderId="14" xfId="4" applyNumberFormat="1" applyFont="1" applyBorder="1" applyAlignment="1" applyProtection="1">
      <alignment horizontal="center" vertical="center"/>
    </xf>
    <xf numFmtId="166" fontId="7" fillId="0" borderId="14" xfId="4" applyNumberFormat="1" applyFont="1" applyBorder="1" applyAlignment="1" applyProtection="1">
      <alignment horizontal="center" vertical="center"/>
    </xf>
    <xf numFmtId="166" fontId="7" fillId="0" borderId="14" xfId="0" applyNumberFormat="1" applyFont="1" applyBorder="1" applyAlignment="1" applyProtection="1">
      <alignment horizontal="center" vertical="center"/>
    </xf>
    <xf numFmtId="0" fontId="7" fillId="5" borderId="38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166" fontId="6" fillId="0" borderId="57" xfId="4" applyNumberFormat="1" applyFont="1" applyBorder="1" applyAlignment="1" applyProtection="1">
      <alignment horizontal="center" vertical="center"/>
    </xf>
    <xf numFmtId="166" fontId="6" fillId="0" borderId="57" xfId="4" applyNumberFormat="1" applyFont="1" applyFill="1" applyBorder="1" applyAlignment="1" applyProtection="1">
      <alignment horizontal="center" vertical="center"/>
    </xf>
    <xf numFmtId="166" fontId="6" fillId="0" borderId="59" xfId="4" applyNumberFormat="1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left" vertical="center" wrapText="1"/>
    </xf>
    <xf numFmtId="2" fontId="6" fillId="0" borderId="39" xfId="0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6" fillId="0" borderId="61" xfId="0" applyFont="1" applyFill="1" applyBorder="1" applyAlignment="1" applyProtection="1">
      <alignment horizontal="center" vertical="center"/>
    </xf>
    <xf numFmtId="2" fontId="6" fillId="0" borderId="67" xfId="0" applyNumberFormat="1" applyFont="1" applyBorder="1" applyAlignment="1" applyProtection="1">
      <alignment horizontal="center" vertical="center"/>
    </xf>
    <xf numFmtId="166" fontId="6" fillId="0" borderId="62" xfId="4" applyNumberFormat="1" applyFont="1" applyBorder="1" applyAlignment="1" applyProtection="1">
      <alignment horizontal="center" vertical="center"/>
      <protection locked="0"/>
    </xf>
    <xf numFmtId="166" fontId="6" fillId="0" borderId="63" xfId="4" applyNumberFormat="1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left" vertical="center"/>
    </xf>
    <xf numFmtId="0" fontId="6" fillId="0" borderId="62" xfId="0" applyFont="1" applyBorder="1" applyAlignment="1" applyProtection="1">
      <alignment horizontal="center" vertical="center" wrapText="1"/>
    </xf>
    <xf numFmtId="166" fontId="6" fillId="0" borderId="62" xfId="4" applyNumberFormat="1" applyFont="1" applyFill="1" applyBorder="1" applyAlignment="1" applyProtection="1">
      <alignment horizontal="center" vertical="center"/>
      <protection locked="0"/>
    </xf>
    <xf numFmtId="0" fontId="6" fillId="0" borderId="62" xfId="0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left" vertical="center" wrapText="1"/>
    </xf>
    <xf numFmtId="166" fontId="6" fillId="0" borderId="63" xfId="4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1" fillId="3" borderId="34" xfId="0" applyFont="1" applyFill="1" applyBorder="1" applyAlignment="1" applyProtection="1">
      <alignment horizontal="center" vertical="center"/>
    </xf>
    <xf numFmtId="0" fontId="1" fillId="3" borderId="34" xfId="0" applyFont="1" applyFill="1" applyBorder="1" applyAlignment="1" applyProtection="1">
      <alignment horizontal="left" vertical="center" wrapText="1"/>
    </xf>
    <xf numFmtId="2" fontId="1" fillId="3" borderId="34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 wrapText="1"/>
    </xf>
    <xf numFmtId="166" fontId="6" fillId="3" borderId="57" xfId="4" applyNumberFormat="1" applyFont="1" applyFill="1" applyBorder="1" applyAlignment="1" applyProtection="1">
      <alignment horizontal="center" vertical="center"/>
    </xf>
    <xf numFmtId="0" fontId="8" fillId="0" borderId="32" xfId="0" applyFont="1" applyBorder="1" applyProtection="1"/>
    <xf numFmtId="0" fontId="8" fillId="0" borderId="32" xfId="0" applyFont="1" applyFill="1" applyBorder="1" applyProtection="1"/>
    <xf numFmtId="166" fontId="7" fillId="4" borderId="48" xfId="0" applyNumberFormat="1" applyFont="1" applyFill="1" applyBorder="1" applyAlignment="1" applyProtection="1">
      <alignment horizontal="center" vertical="center"/>
    </xf>
    <xf numFmtId="166" fontId="7" fillId="4" borderId="14" xfId="0" applyNumberFormat="1" applyFont="1" applyFill="1" applyBorder="1" applyAlignment="1" applyProtection="1">
      <alignment horizontal="center" vertical="center"/>
    </xf>
    <xf numFmtId="166" fontId="7" fillId="4" borderId="17" xfId="0" applyNumberFormat="1" applyFont="1" applyFill="1" applyBorder="1" applyAlignment="1" applyProtection="1">
      <alignment horizontal="center" vertical="center"/>
    </xf>
    <xf numFmtId="0" fontId="13" fillId="0" borderId="32" xfId="0" applyFont="1" applyBorder="1" applyProtection="1"/>
    <xf numFmtId="44" fontId="13" fillId="0" borderId="32" xfId="0" applyNumberFormat="1" applyFont="1" applyBorder="1" applyProtection="1"/>
    <xf numFmtId="0" fontId="13" fillId="0" borderId="32" xfId="0" applyFont="1" applyFill="1" applyBorder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left" vertical="center" wrapText="1"/>
    </xf>
    <xf numFmtId="2" fontId="6" fillId="0" borderId="17" xfId="0" applyNumberFormat="1" applyFont="1" applyBorder="1" applyAlignment="1" applyProtection="1">
      <alignment horizontal="center" vertical="center"/>
    </xf>
    <xf numFmtId="166" fontId="6" fillId="0" borderId="17" xfId="4" applyNumberFormat="1" applyFont="1" applyBorder="1" applyAlignment="1" applyProtection="1">
      <alignment horizontal="center" vertical="center"/>
    </xf>
    <xf numFmtId="0" fontId="7" fillId="5" borderId="64" xfId="0" applyFont="1" applyFill="1" applyBorder="1" applyAlignment="1" applyProtection="1">
      <alignment horizontal="center" vertical="center"/>
    </xf>
    <xf numFmtId="0" fontId="6" fillId="0" borderId="64" xfId="0" applyFont="1" applyFill="1" applyBorder="1" applyAlignment="1" applyProtection="1">
      <alignment horizontal="center" vertical="center"/>
    </xf>
    <xf numFmtId="0" fontId="6" fillId="0" borderId="56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1" fillId="0" borderId="62" xfId="0" applyFont="1" applyBorder="1" applyAlignment="1" applyProtection="1">
      <alignment horizontal="left" vertical="center" wrapText="1"/>
    </xf>
    <xf numFmtId="166" fontId="6" fillId="0" borderId="59" xfId="4" applyNumberFormat="1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center" vertical="center"/>
    </xf>
    <xf numFmtId="0" fontId="1" fillId="0" borderId="39" xfId="0" applyFont="1" applyBorder="1" applyAlignment="1" applyProtection="1">
      <alignment horizontal="left" vertical="center"/>
    </xf>
    <xf numFmtId="0" fontId="6" fillId="0" borderId="39" xfId="0" applyFont="1" applyBorder="1" applyAlignment="1" applyProtection="1">
      <alignment horizontal="center" vertical="center" wrapText="1"/>
    </xf>
    <xf numFmtId="166" fontId="6" fillId="0" borderId="46" xfId="4" applyNumberFormat="1" applyFont="1" applyBorder="1" applyAlignment="1" applyProtection="1">
      <alignment horizontal="center" vertical="center"/>
      <protection locked="0"/>
    </xf>
    <xf numFmtId="166" fontId="6" fillId="0" borderId="47" xfId="4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 applyProtection="1">
      <alignment horizontal="left" vertical="center"/>
    </xf>
    <xf numFmtId="0" fontId="6" fillId="0" borderId="36" xfId="0" applyFont="1" applyBorder="1" applyAlignment="1" applyProtection="1">
      <alignment horizontal="left" vertical="center"/>
    </xf>
    <xf numFmtId="0" fontId="7" fillId="0" borderId="32" xfId="0" applyFont="1" applyBorder="1" applyAlignment="1" applyProtection="1">
      <alignment horizontal="left" vertic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5" borderId="38" xfId="0" applyFont="1" applyFill="1" applyBorder="1" applyAlignment="1" applyProtection="1">
      <alignment horizontal="left" vertical="center"/>
    </xf>
    <xf numFmtId="0" fontId="7" fillId="5" borderId="65" xfId="0" applyFont="1" applyFill="1" applyBorder="1" applyAlignment="1" applyProtection="1">
      <alignment horizontal="left" vertical="center"/>
    </xf>
    <xf numFmtId="166" fontId="6" fillId="0" borderId="46" xfId="4" applyNumberFormat="1" applyFont="1" applyFill="1" applyBorder="1" applyAlignment="1" applyProtection="1">
      <alignment horizontal="center" vertical="center"/>
      <protection locked="0"/>
    </xf>
    <xf numFmtId="166" fontId="6" fillId="0" borderId="47" xfId="4" applyNumberFormat="1" applyFont="1" applyFill="1" applyBorder="1" applyAlignment="1" applyProtection="1">
      <alignment horizontal="center" vertical="center"/>
      <protection locked="0"/>
    </xf>
    <xf numFmtId="166" fontId="6" fillId="0" borderId="46" xfId="4" applyNumberFormat="1" applyFont="1" applyBorder="1" applyAlignment="1" applyProtection="1">
      <alignment horizontal="center" vertical="center"/>
      <protection locked="0"/>
    </xf>
    <xf numFmtId="166" fontId="6" fillId="0" borderId="47" xfId="4" applyNumberFormat="1" applyFont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right" vertical="center"/>
    </xf>
    <xf numFmtId="0" fontId="7" fillId="4" borderId="17" xfId="0" applyFont="1" applyFill="1" applyBorder="1" applyAlignment="1" applyProtection="1">
      <alignment horizontal="right" vertical="center"/>
    </xf>
    <xf numFmtId="0" fontId="7" fillId="4" borderId="55" xfId="0" applyFont="1" applyFill="1" applyBorder="1" applyAlignment="1" applyProtection="1">
      <alignment horizontal="right" vertical="center"/>
    </xf>
    <xf numFmtId="0" fontId="11" fillId="0" borderId="4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6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4" borderId="22" xfId="0" applyFont="1" applyFill="1" applyBorder="1" applyAlignment="1" applyProtection="1">
      <alignment horizontal="right" vertical="center"/>
    </xf>
    <xf numFmtId="0" fontId="7" fillId="4" borderId="14" xfId="0" applyFont="1" applyFill="1" applyBorder="1" applyAlignment="1" applyProtection="1">
      <alignment horizontal="right" vertical="center"/>
    </xf>
    <xf numFmtId="0" fontId="7" fillId="4" borderId="23" xfId="0" applyFont="1" applyFill="1" applyBorder="1" applyAlignment="1" applyProtection="1">
      <alignment horizontal="right" vertical="center"/>
    </xf>
    <xf numFmtId="0" fontId="7" fillId="4" borderId="24" xfId="0" applyFont="1" applyFill="1" applyBorder="1" applyAlignment="1" applyProtection="1">
      <alignment horizontal="right" vertical="center"/>
    </xf>
    <xf numFmtId="0" fontId="7" fillId="4" borderId="48" xfId="0" applyFont="1" applyFill="1" applyBorder="1" applyAlignment="1" applyProtection="1">
      <alignment horizontal="right" vertical="center"/>
    </xf>
    <xf numFmtId="0" fontId="7" fillId="4" borderId="9" xfId="0" applyFont="1" applyFill="1" applyBorder="1" applyAlignment="1" applyProtection="1">
      <alignment horizontal="right" vertical="center"/>
    </xf>
    <xf numFmtId="166" fontId="6" fillId="0" borderId="43" xfId="4" applyNumberFormat="1" applyFont="1" applyFill="1" applyBorder="1" applyAlignment="1" applyProtection="1">
      <alignment horizontal="center" vertical="center"/>
      <protection locked="0"/>
    </xf>
    <xf numFmtId="166" fontId="6" fillId="0" borderId="45" xfId="4" applyNumberFormat="1" applyFont="1" applyFill="1" applyBorder="1" applyAlignment="1" applyProtection="1">
      <alignment horizontal="center" vertical="center"/>
      <protection locked="0"/>
    </xf>
    <xf numFmtId="166" fontId="1" fillId="3" borderId="46" xfId="4" applyNumberFormat="1" applyFont="1" applyFill="1" applyBorder="1" applyAlignment="1" applyProtection="1">
      <alignment horizontal="center" vertical="center"/>
      <protection locked="0"/>
    </xf>
    <xf numFmtId="166" fontId="1" fillId="3" borderId="47" xfId="4" applyNumberFormat="1" applyFont="1" applyFill="1" applyBorder="1" applyAlignment="1" applyProtection="1">
      <alignment horizontal="center" vertical="center"/>
      <protection locked="0"/>
    </xf>
    <xf numFmtId="0" fontId="9" fillId="5" borderId="41" xfId="0" applyFont="1" applyFill="1" applyBorder="1" applyAlignment="1" applyProtection="1">
      <alignment horizontal="right" vertical="center"/>
    </xf>
    <xf numFmtId="0" fontId="9" fillId="5" borderId="33" xfId="0" applyFont="1" applyFill="1" applyBorder="1" applyAlignment="1" applyProtection="1">
      <alignment horizontal="right" vertical="center"/>
    </xf>
    <xf numFmtId="0" fontId="9" fillId="5" borderId="42" xfId="0" applyFont="1" applyFill="1" applyBorder="1" applyAlignment="1" applyProtection="1">
      <alignment horizontal="right" vertical="center"/>
    </xf>
    <xf numFmtId="0" fontId="7" fillId="5" borderId="41" xfId="0" applyFont="1" applyFill="1" applyBorder="1" applyAlignment="1" applyProtection="1">
      <alignment horizontal="right" vertical="center"/>
    </xf>
    <xf numFmtId="0" fontId="7" fillId="5" borderId="33" xfId="0" applyFont="1" applyFill="1" applyBorder="1" applyAlignment="1" applyProtection="1">
      <alignment horizontal="right" vertical="center"/>
    </xf>
    <xf numFmtId="0" fontId="7" fillId="5" borderId="42" xfId="0" applyFont="1" applyFill="1" applyBorder="1" applyAlignment="1" applyProtection="1">
      <alignment horizontal="right" vertical="center"/>
    </xf>
    <xf numFmtId="0" fontId="6" fillId="0" borderId="6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/>
    </xf>
    <xf numFmtId="0" fontId="7" fillId="0" borderId="32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10" fontId="6" fillId="0" borderId="17" xfId="0" applyNumberFormat="1" applyFont="1" applyBorder="1" applyAlignment="1" applyProtection="1">
      <alignment horizontal="left" vertical="center"/>
    </xf>
    <xf numFmtId="10" fontId="6" fillId="0" borderId="55" xfId="0" applyNumberFormat="1" applyFont="1" applyBorder="1" applyAlignment="1" applyProtection="1">
      <alignment horizontal="left" vertical="center"/>
    </xf>
    <xf numFmtId="0" fontId="7" fillId="5" borderId="14" xfId="0" applyFont="1" applyFill="1" applyBorder="1" applyAlignment="1" applyProtection="1">
      <alignment horizontal="center" vertical="center"/>
    </xf>
    <xf numFmtId="0" fontId="7" fillId="5" borderId="23" xfId="0" applyFont="1" applyFill="1" applyBorder="1" applyAlignment="1" applyProtection="1">
      <alignment horizontal="center" vertical="center"/>
    </xf>
    <xf numFmtId="0" fontId="7" fillId="5" borderId="22" xfId="0" applyFont="1" applyFill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36" xfId="0" applyFont="1" applyBorder="1" applyAlignment="1" applyProtection="1">
      <alignment horizontal="left" vertical="center"/>
    </xf>
    <xf numFmtId="168" fontId="6" fillId="0" borderId="0" xfId="0" applyNumberFormat="1" applyFont="1" applyBorder="1" applyAlignment="1" applyProtection="1">
      <alignment horizontal="left" vertical="center"/>
    </xf>
    <xf numFmtId="168" fontId="6" fillId="0" borderId="36" xfId="0" applyNumberFormat="1" applyFont="1" applyBorder="1" applyAlignment="1" applyProtection="1">
      <alignment horizontal="left" vertical="center"/>
    </xf>
    <xf numFmtId="0" fontId="11" fillId="0" borderId="24" xfId="0" applyFont="1" applyBorder="1" applyAlignment="1" applyProtection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2" borderId="50" xfId="0" applyFont="1" applyFill="1" applyBorder="1" applyAlignment="1">
      <alignment horizontal="center"/>
    </xf>
    <xf numFmtId="168" fontId="6" fillId="0" borderId="20" xfId="0" applyNumberFormat="1" applyFont="1" applyBorder="1" applyAlignment="1">
      <alignment horizontal="left"/>
    </xf>
    <xf numFmtId="168" fontId="6" fillId="0" borderId="21" xfId="0" applyNumberFormat="1" applyFont="1" applyBorder="1" applyAlignment="1">
      <alignment horizontal="left"/>
    </xf>
    <xf numFmtId="0" fontId="7" fillId="0" borderId="24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7" fillId="2" borderId="24" xfId="0" applyFont="1" applyFill="1" applyBorder="1" applyAlignment="1">
      <alignment horizontal="center"/>
    </xf>
    <xf numFmtId="0" fontId="7" fillId="2" borderId="4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8" fillId="0" borderId="11" xfId="0" applyFont="1" applyFill="1" applyBorder="1"/>
    <xf numFmtId="0" fontId="18" fillId="0" borderId="12" xfId="0" applyFont="1" applyFill="1" applyBorder="1"/>
    <xf numFmtId="0" fontId="18" fillId="0" borderId="13" xfId="0" applyFont="1" applyFill="1" applyBorder="1"/>
    <xf numFmtId="0" fontId="18" fillId="0" borderId="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justify" vertical="top" wrapText="1"/>
    </xf>
    <xf numFmtId="0" fontId="18" fillId="0" borderId="0" xfId="0" applyFont="1" applyFill="1" applyBorder="1" applyAlignment="1">
      <alignment horizontal="justify" vertical="top" wrapText="1"/>
    </xf>
    <xf numFmtId="0" fontId="18" fillId="0" borderId="5" xfId="0" applyFont="1" applyFill="1" applyBorder="1" applyAlignment="1">
      <alignment horizontal="justify" vertical="top" wrapText="1"/>
    </xf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6" fillId="0" borderId="34" xfId="1" applyFont="1" applyFill="1" applyBorder="1" applyAlignment="1" applyProtection="1">
      <alignment horizontal="center" vertical="center"/>
    </xf>
    <xf numFmtId="2" fontId="6" fillId="0" borderId="62" xfId="0" applyNumberFormat="1" applyFont="1" applyFill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wrapText="1"/>
    </xf>
    <xf numFmtId="4" fontId="6" fillId="0" borderId="17" xfId="0" applyNumberFormat="1" applyFont="1" applyBorder="1" applyAlignment="1" applyProtection="1">
      <alignment horizontal="center" vertical="center"/>
    </xf>
    <xf numFmtId="166" fontId="6" fillId="0" borderId="17" xfId="4" applyNumberFormat="1" applyFont="1" applyBorder="1" applyAlignment="1" applyProtection="1">
      <alignment horizontal="center"/>
    </xf>
    <xf numFmtId="166" fontId="6" fillId="0" borderId="17" xfId="3" applyNumberFormat="1" applyFont="1" applyBorder="1" applyAlignment="1" applyProtection="1">
      <alignment horizontal="center"/>
    </xf>
    <xf numFmtId="0" fontId="13" fillId="0" borderId="0" xfId="0" applyFont="1" applyBorder="1" applyProtection="1"/>
    <xf numFmtId="0" fontId="8" fillId="0" borderId="0" xfId="0" applyFont="1" applyBorder="1" applyProtection="1"/>
    <xf numFmtId="0" fontId="6" fillId="0" borderId="14" xfId="0" applyFont="1" applyBorder="1" applyAlignment="1" applyProtection="1">
      <alignment vertical="center"/>
    </xf>
    <xf numFmtId="166" fontId="6" fillId="0" borderId="14" xfId="0" applyNumberFormat="1" applyFont="1" applyBorder="1" applyAlignment="1" applyProtection="1">
      <alignment vertical="center"/>
    </xf>
    <xf numFmtId="0" fontId="6" fillId="0" borderId="32" xfId="0" applyFont="1" applyBorder="1" applyAlignment="1" applyProtection="1">
      <alignment vertical="center"/>
    </xf>
    <xf numFmtId="166" fontId="6" fillId="0" borderId="0" xfId="0" applyNumberFormat="1" applyFont="1" applyBorder="1" applyAlignment="1" applyProtection="1">
      <alignment vertical="center"/>
    </xf>
    <xf numFmtId="166" fontId="6" fillId="0" borderId="36" xfId="0" applyNumberFormat="1" applyFont="1" applyBorder="1" applyAlignment="1" applyProtection="1">
      <alignment vertical="center"/>
    </xf>
    <xf numFmtId="9" fontId="13" fillId="0" borderId="0" xfId="0" applyNumberFormat="1" applyFont="1" applyProtection="1"/>
    <xf numFmtId="0" fontId="6" fillId="0" borderId="0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4" fontId="6" fillId="0" borderId="0" xfId="0" applyNumberFormat="1" applyFont="1" applyBorder="1" applyAlignment="1" applyProtection="1">
      <alignment horizontal="center" vertical="center"/>
    </xf>
    <xf numFmtId="166" fontId="6" fillId="0" borderId="0" xfId="4" applyNumberFormat="1" applyFont="1" applyBorder="1" applyAlignment="1" applyProtection="1">
      <alignment horizontal="center"/>
    </xf>
    <xf numFmtId="166" fontId="7" fillId="0" borderId="0" xfId="4" applyNumberFormat="1" applyFont="1" applyBorder="1" applyAlignment="1" applyProtection="1">
      <alignment horizontal="center"/>
    </xf>
    <xf numFmtId="166" fontId="7" fillId="0" borderId="0" xfId="3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4" fontId="7" fillId="0" borderId="0" xfId="0" applyNumberFormat="1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Protection="1"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7" fillId="0" borderId="55" xfId="0" applyFont="1" applyFill="1" applyBorder="1" applyAlignment="1" applyProtection="1">
      <alignment horizontal="center" vertical="center"/>
      <protection locked="0"/>
    </xf>
    <xf numFmtId="166" fontId="6" fillId="0" borderId="46" xfId="4" applyNumberFormat="1" applyFont="1" applyBorder="1" applyAlignment="1" applyProtection="1">
      <alignment horizontal="center" vertical="center" wrapText="1"/>
      <protection locked="0"/>
    </xf>
    <xf numFmtId="166" fontId="6" fillId="0" borderId="47" xfId="4" applyNumberFormat="1" applyFont="1" applyBorder="1" applyAlignment="1" applyProtection="1">
      <alignment horizontal="center" vertical="center" wrapText="1"/>
      <protection locked="0"/>
    </xf>
    <xf numFmtId="166" fontId="6" fillId="0" borderId="68" xfId="4" applyNumberFormat="1" applyFont="1" applyBorder="1" applyAlignment="1" applyProtection="1">
      <alignment horizontal="center" vertical="center"/>
      <protection locked="0"/>
    </xf>
    <xf numFmtId="166" fontId="6" fillId="0" borderId="69" xfId="4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Protection="1"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/>
      <protection locked="0"/>
    </xf>
    <xf numFmtId="0" fontId="6" fillId="0" borderId="0" xfId="0" applyFont="1" applyProtection="1"/>
    <xf numFmtId="0" fontId="6" fillId="0" borderId="0" xfId="0" applyFont="1" applyAlignment="1" applyProtection="1"/>
    <xf numFmtId="0" fontId="7" fillId="5" borderId="22" xfId="0" applyFont="1" applyFill="1" applyBorder="1" applyAlignment="1" applyProtection="1">
      <alignment horizontal="right"/>
    </xf>
    <xf numFmtId="0" fontId="7" fillId="5" borderId="14" xfId="0" applyFont="1" applyFill="1" applyBorder="1" applyAlignment="1" applyProtection="1">
      <alignment horizontal="right"/>
    </xf>
    <xf numFmtId="0" fontId="7" fillId="5" borderId="23" xfId="0" applyFont="1" applyFill="1" applyBorder="1" applyAlignment="1" applyProtection="1">
      <alignment horizontal="right"/>
    </xf>
    <xf numFmtId="0" fontId="6" fillId="0" borderId="36" xfId="0" applyFont="1" applyBorder="1" applyProtection="1"/>
    <xf numFmtId="0" fontId="7" fillId="5" borderId="16" xfId="0" applyFont="1" applyFill="1" applyBorder="1" applyAlignment="1" applyProtection="1">
      <alignment horizontal="right"/>
    </xf>
    <xf numFmtId="0" fontId="7" fillId="5" borderId="17" xfId="0" applyFont="1" applyFill="1" applyBorder="1" applyAlignment="1" applyProtection="1">
      <alignment horizontal="right"/>
    </xf>
    <xf numFmtId="0" fontId="25" fillId="0" borderId="14" xfId="0" applyFont="1" applyBorder="1" applyAlignment="1" applyProtection="1">
      <alignment horizontal="left"/>
    </xf>
    <xf numFmtId="0" fontId="6" fillId="0" borderId="24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6" fillId="0" borderId="32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36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44" fontId="6" fillId="0" borderId="34" xfId="4" applyFont="1" applyBorder="1" applyAlignment="1" applyProtection="1">
      <alignment horizontal="center" vertical="center"/>
      <protection locked="0"/>
    </xf>
    <xf numFmtId="44" fontId="6" fillId="0" borderId="62" xfId="4" applyFont="1" applyBorder="1" applyAlignment="1" applyProtection="1">
      <alignment horizontal="center" vertical="center"/>
      <protection locked="0"/>
    </xf>
    <xf numFmtId="44" fontId="6" fillId="0" borderId="39" xfId="4" applyFont="1" applyBorder="1" applyAlignment="1" applyProtection="1">
      <alignment horizontal="center" vertical="center"/>
      <protection locked="0"/>
    </xf>
    <xf numFmtId="44" fontId="6" fillId="0" borderId="38" xfId="4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4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18" fillId="0" borderId="4" xfId="0" applyFont="1" applyFill="1" applyBorder="1" applyAlignment="1" applyProtection="1">
      <alignment horizontal="center"/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</cellXfs>
  <cellStyles count="21">
    <cellStyle name="Moeda" xfId="4" builtinId="4"/>
    <cellStyle name="Moeda 2" xfId="2"/>
    <cellStyle name="Moeda 2 2" xfId="8"/>
    <cellStyle name="Moeda 3" xfId="9"/>
    <cellStyle name="Moeda 3 2" xfId="19"/>
    <cellStyle name="Moeda 3 3" xfId="17"/>
    <cellStyle name="Moeda 4" xfId="11"/>
    <cellStyle name="Moeda 5" xfId="14"/>
    <cellStyle name="Moeda 5 2" xfId="18"/>
    <cellStyle name="Moeda 6" xfId="16"/>
    <cellStyle name="Normal" xfId="0" builtinId="0"/>
    <cellStyle name="Normal 2" xfId="12"/>
    <cellStyle name="Normal 3" xfId="1"/>
    <cellStyle name="Normal 4" xfId="5"/>
    <cellStyle name="Normal 5" xfId="10"/>
    <cellStyle name="Porcentagem" xfId="3" builtinId="5"/>
    <cellStyle name="Porcentagem 2" xfId="13"/>
    <cellStyle name="Vírgula" xfId="7" builtinId="3"/>
    <cellStyle name="Vírgula 2" xfId="15"/>
    <cellStyle name="Vírgula 3" xfId="20"/>
    <cellStyle name="Vírgula 5" xfId="6"/>
  </cellStyles>
  <dxfs count="1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40080</xdr:colOff>
      <xdr:row>2</xdr:row>
      <xdr:rowOff>35061</xdr:rowOff>
    </xdr:from>
    <xdr:to>
      <xdr:col>2</xdr:col>
      <xdr:colOff>1015182</xdr:colOff>
      <xdr:row>10</xdr:row>
      <xdr:rowOff>16625</xdr:rowOff>
    </xdr:to>
    <xdr:pic>
      <xdr:nvPicPr>
        <xdr:cNvPr id="2" name="Imagem 1" descr="Nenhuma descrição de foto disponível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21" y="416061"/>
          <a:ext cx="1572579" cy="1558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213237</xdr:colOff>
      <xdr:row>1</xdr:row>
      <xdr:rowOff>88900</xdr:rowOff>
    </xdr:from>
    <xdr:to>
      <xdr:col>4</xdr:col>
      <xdr:colOff>2427287</xdr:colOff>
      <xdr:row>10</xdr:row>
      <xdr:rowOff>107950</xdr:rowOff>
    </xdr:to>
    <xdr:pic>
      <xdr:nvPicPr>
        <xdr:cNvPr id="3" name="Imagem 2" descr="Nenhuma descrição de foto disponível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42" b="10533"/>
        <a:stretch/>
      </xdr:blipFill>
      <xdr:spPr bwMode="auto">
        <a:xfrm>
          <a:off x="9046087" y="279400"/>
          <a:ext cx="2214050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47611</xdr:colOff>
      <xdr:row>3</xdr:row>
      <xdr:rowOff>20919</xdr:rowOff>
    </xdr:from>
    <xdr:to>
      <xdr:col>2</xdr:col>
      <xdr:colOff>672633</xdr:colOff>
      <xdr:row>9</xdr:row>
      <xdr:rowOff>69026</xdr:rowOff>
    </xdr:to>
    <xdr:pic>
      <xdr:nvPicPr>
        <xdr:cNvPr id="2" name="Imagem 1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58966C9B-0AE6-4BBB-8841-3D6605088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797" y="551691"/>
          <a:ext cx="1381767" cy="1082668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159139</xdr:colOff>
      <xdr:row>2</xdr:row>
      <xdr:rowOff>86933</xdr:rowOff>
    </xdr:from>
    <xdr:to>
      <xdr:col>2</xdr:col>
      <xdr:colOff>2009775</xdr:colOff>
      <xdr:row>10</xdr:row>
      <xdr:rowOff>66676</xdr:rowOff>
    </xdr:to>
    <xdr:pic>
      <xdr:nvPicPr>
        <xdr:cNvPr id="2" name="Imagem 1" descr="Nenhuma descrição de foto disponível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23" b="8968"/>
        <a:stretch/>
      </xdr:blipFill>
      <xdr:spPr bwMode="auto">
        <a:xfrm>
          <a:off x="768739" y="467933"/>
          <a:ext cx="2212586" cy="1760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</xdr:colOff>
      <xdr:row>2</xdr:row>
      <xdr:rowOff>87311</xdr:rowOff>
    </xdr:from>
    <xdr:to>
      <xdr:col>2</xdr:col>
      <xdr:colOff>744221</xdr:colOff>
      <xdr:row>10</xdr:row>
      <xdr:rowOff>176530</xdr:rowOff>
    </xdr:to>
    <xdr:pic>
      <xdr:nvPicPr>
        <xdr:cNvPr id="5" name="Imagem 4" descr="https://superpublicidade.com.br/wp-content/uploads/2019/12/Prefeitura-Catala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" y="445451"/>
          <a:ext cx="1918654" cy="207803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384175</xdr:colOff>
      <xdr:row>36</xdr:row>
      <xdr:rowOff>185736</xdr:rowOff>
    </xdr:from>
    <xdr:ext cx="65" cy="176587"/>
    <xdr:sp macro="" textlink="">
      <xdr:nvSpPr>
        <xdr:cNvPr id="6" name="CaixaDeTexto 5"/>
        <xdr:cNvSpPr txBox="1"/>
      </xdr:nvSpPr>
      <xdr:spPr>
        <a:xfrm>
          <a:off x="384175" y="8539161"/>
          <a:ext cx="65" cy="176587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</xdr:col>
      <xdr:colOff>98424</xdr:colOff>
      <xdr:row>36</xdr:row>
      <xdr:rowOff>177799</xdr:rowOff>
    </xdr:from>
    <xdr:ext cx="3370474" cy="3844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/>
            <xdr:cNvSpPr txBox="1"/>
          </xdr:nvSpPr>
          <xdr:spPr>
            <a:xfrm>
              <a:off x="98424" y="8531224"/>
              <a:ext cx="3370474" cy="38446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0" lang="pt-BR" sz="12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𝐁𝐃𝐈</m:t>
                    </m:r>
                    <m:r>
                      <a:rPr kumimoji="0" lang="pt-BR" sz="1200" b="1" i="0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 </m:t>
                    </m:r>
                    <m:f>
                      <m:fPr>
                        <m:ctrlP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𝑨𝑪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𝑺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𝑹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𝑮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)(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𝑫𝑭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)(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𝑳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𝟏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𝑰</m:t>
                        </m:r>
                        <m:r>
                          <a:rPr kumimoji="0" lang="pt-BR" sz="1200" b="1" i="1" u="none" strike="noStrike" kern="0" cap="none" spc="0" normalizeH="0" baseline="0" noProof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effectLst/>
                            <a:uLnTx/>
                            <a:uFillTx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den>
                    </m:f>
                    <m:r>
                      <a:rPr kumimoji="0" lang="pt-BR" sz="12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a:rPr kumimoji="0" lang="pt-BR" sz="1200" b="1" i="1" u="none" strike="noStrike" kern="0" cap="none" spc="0" normalizeH="0" baseline="0" noProof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effectLst/>
                        <a:uLnTx/>
                        <a:uFillTx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𝟏</m:t>
                    </m:r>
                  </m:oMath>
                </m:oMathPara>
              </a14:m>
              <a:endParaRPr kumimoji="0" lang="pt-BR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7" name="CaixaDeTexto 6"/>
            <xdr:cNvSpPr txBox="1"/>
          </xdr:nvSpPr>
          <xdr:spPr>
            <a:xfrm>
              <a:off x="98424" y="8531224"/>
              <a:ext cx="3370474" cy="384464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1200" b="1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mbria Math" panose="02040503050406030204" pitchFamily="18" charset="0"/>
                  <a:ea typeface="+mn-ea"/>
                  <a:cs typeface="+mn-cs"/>
                </a:rPr>
                <a:t>𝐁𝐃𝐈=  ((𝟏+𝑨𝑪+𝑺+𝑹+𝑮)(𝟏+𝑫𝑭)(𝟏+𝑳))/((𝟏+𝑰))−𝟏</a:t>
              </a:r>
              <a:endParaRPr kumimoji="0" lang="pt-BR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 Narrow" panose="020B0606020202030204" pitchFamily="34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53\PROCESSOS%20-%20EM%20AN&#193;LISE\PIRES%20BELO\PRA&#199;A\CD\OR&#199;AMENTO%20PRA&#199;A%20PIRES%20B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ÓRIA DE CÁLCULO"/>
      <sheetName val="BDI"/>
      <sheetName val="CRONOGRAMA"/>
      <sheetName val="COMPOSIÇÃO"/>
    </sheetNames>
    <sheetDataSet>
      <sheetData sheetId="0" refreshError="1">
        <row r="1">
          <cell r="C1" t="str">
            <v>PREFEITURA MUNICIPAL DE CATALÃO</v>
          </cell>
        </row>
        <row r="3">
          <cell r="C3" t="str">
            <v>SETOR</v>
          </cell>
          <cell r="D3" t="str">
            <v>SECRETARIA MUNICIPAL DE OBRAS</v>
          </cell>
        </row>
        <row r="4">
          <cell r="C4" t="str">
            <v>OBJETO</v>
          </cell>
        </row>
        <row r="5">
          <cell r="C5" t="str">
            <v>PROCESSO</v>
          </cell>
        </row>
        <row r="6">
          <cell r="C6" t="str">
            <v>ENDEREÇO</v>
          </cell>
        </row>
        <row r="7">
          <cell r="C7" t="str">
            <v>TABELAS</v>
          </cell>
        </row>
        <row r="9">
          <cell r="C9" t="str">
            <v xml:space="preserve">DATA 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0"/>
  <sheetViews>
    <sheetView topLeftCell="A97" zoomScaleNormal="100" workbookViewId="0">
      <selection activeCell="H121" sqref="H121:I121"/>
    </sheetView>
  </sheetViews>
  <sheetFormatPr defaultColWidth="8.85546875" defaultRowHeight="15" customHeight="1" x14ac:dyDescent="0.2"/>
  <cols>
    <col min="1" max="1" width="2.7109375" style="1" customWidth="1"/>
    <col min="2" max="2" width="9" style="34" customWidth="1"/>
    <col min="3" max="3" width="15.85546875" style="34" bestFit="1" customWidth="1"/>
    <col min="4" max="4" width="12.85546875" style="34" customWidth="1"/>
    <col min="5" max="5" width="77.28515625" style="33" bestFit="1" customWidth="1"/>
    <col min="6" max="6" width="9.7109375" style="13" bestFit="1" customWidth="1"/>
    <col min="7" max="7" width="8.5703125" style="34" customWidth="1"/>
    <col min="8" max="8" width="16.140625" style="147" customWidth="1"/>
    <col min="9" max="9" width="17.140625" style="147" bestFit="1" customWidth="1"/>
    <col min="10" max="10" width="18.7109375" style="147" customWidth="1"/>
    <col min="11" max="11" width="18.140625" style="1" customWidth="1"/>
    <col min="12" max="12" width="15.140625" style="1" bestFit="1" customWidth="1"/>
    <col min="13" max="13" width="8.85546875" style="1"/>
    <col min="14" max="16" width="16.140625" style="1" bestFit="1" customWidth="1"/>
    <col min="17" max="16384" width="8.85546875" style="1"/>
  </cols>
  <sheetData>
    <row r="1" spans="1:12" ht="15" customHeight="1" x14ac:dyDescent="0.2">
      <c r="B1" s="280"/>
      <c r="C1" s="280"/>
      <c r="D1" s="280"/>
      <c r="E1" s="281"/>
      <c r="F1" s="282"/>
      <c r="G1" s="280"/>
      <c r="H1" s="283"/>
      <c r="I1" s="283"/>
      <c r="J1" s="283"/>
    </row>
    <row r="2" spans="1:12" ht="15" customHeight="1" x14ac:dyDescent="0.2">
      <c r="A2" s="227"/>
      <c r="B2" s="456"/>
      <c r="C2" s="457"/>
      <c r="D2" s="325" t="s">
        <v>149</v>
      </c>
      <c r="E2" s="325"/>
      <c r="F2" s="325"/>
      <c r="G2" s="325"/>
      <c r="H2" s="325"/>
      <c r="I2" s="325"/>
      <c r="J2" s="326"/>
      <c r="K2" s="272"/>
    </row>
    <row r="3" spans="1:12" ht="15" customHeight="1" x14ac:dyDescent="0.2">
      <c r="A3" s="227"/>
      <c r="B3" s="458"/>
      <c r="C3" s="459"/>
      <c r="D3" s="327"/>
      <c r="E3" s="327"/>
      <c r="F3" s="327"/>
      <c r="G3" s="327"/>
      <c r="H3" s="327"/>
      <c r="I3" s="327"/>
      <c r="J3" s="328"/>
      <c r="K3" s="272"/>
    </row>
    <row r="4" spans="1:12" ht="15" customHeight="1" x14ac:dyDescent="0.2">
      <c r="A4" s="227"/>
      <c r="B4" s="458"/>
      <c r="C4" s="459"/>
      <c r="D4" s="190" t="s">
        <v>32</v>
      </c>
      <c r="E4" s="300" t="s">
        <v>0</v>
      </c>
      <c r="F4" s="102"/>
      <c r="G4" s="102"/>
      <c r="H4" s="148"/>
      <c r="I4" s="148"/>
      <c r="J4" s="229"/>
      <c r="K4" s="272"/>
    </row>
    <row r="5" spans="1:12" ht="15" customHeight="1" x14ac:dyDescent="0.2">
      <c r="A5" s="227"/>
      <c r="B5" s="458"/>
      <c r="C5" s="459"/>
      <c r="D5" s="190" t="s">
        <v>34</v>
      </c>
      <c r="E5" s="2" t="s">
        <v>169</v>
      </c>
      <c r="F5" s="3"/>
      <c r="G5" s="3"/>
      <c r="H5" s="148"/>
      <c r="I5" s="148"/>
      <c r="J5" s="229"/>
      <c r="K5" s="272"/>
    </row>
    <row r="6" spans="1:12" ht="15" customHeight="1" x14ac:dyDescent="0.2">
      <c r="A6" s="227"/>
      <c r="B6" s="458"/>
      <c r="C6" s="459"/>
      <c r="D6" s="190" t="s">
        <v>33</v>
      </c>
      <c r="E6" s="4">
        <v>2023015268</v>
      </c>
      <c r="F6" s="3"/>
      <c r="G6" s="3"/>
      <c r="H6" s="149"/>
      <c r="I6" s="148"/>
      <c r="J6" s="229"/>
      <c r="K6" s="272"/>
    </row>
    <row r="7" spans="1:12" ht="15" customHeight="1" x14ac:dyDescent="0.2">
      <c r="A7" s="227"/>
      <c r="B7" s="458"/>
      <c r="C7" s="459"/>
      <c r="D7" s="190" t="s">
        <v>35</v>
      </c>
      <c r="E7" s="329" t="s">
        <v>177</v>
      </c>
      <c r="F7" s="329"/>
      <c r="G7" s="329"/>
      <c r="H7" s="329"/>
      <c r="I7" s="329"/>
      <c r="J7" s="330"/>
      <c r="K7" s="272"/>
    </row>
    <row r="8" spans="1:12" s="5" customFormat="1" ht="15" customHeight="1" x14ac:dyDescent="0.2">
      <c r="A8" s="228"/>
      <c r="B8" s="460"/>
      <c r="C8" s="461"/>
      <c r="D8" s="331" t="s">
        <v>36</v>
      </c>
      <c r="E8" s="329" t="s">
        <v>195</v>
      </c>
      <c r="F8" s="329"/>
      <c r="G8" s="329"/>
      <c r="H8" s="329"/>
      <c r="I8" s="329"/>
      <c r="J8" s="230"/>
      <c r="K8" s="273"/>
    </row>
    <row r="9" spans="1:12" s="5" customFormat="1" ht="15" customHeight="1" x14ac:dyDescent="0.2">
      <c r="A9" s="228"/>
      <c r="B9" s="460"/>
      <c r="C9" s="461"/>
      <c r="D9" s="331"/>
      <c r="E9" s="329" t="s">
        <v>196</v>
      </c>
      <c r="F9" s="329"/>
      <c r="G9" s="329"/>
      <c r="H9" s="329"/>
      <c r="I9" s="329"/>
      <c r="J9" s="330"/>
      <c r="K9" s="273"/>
    </row>
    <row r="10" spans="1:12" s="5" customFormat="1" ht="15" customHeight="1" x14ac:dyDescent="0.2">
      <c r="A10" s="228"/>
      <c r="B10" s="460"/>
      <c r="C10" s="462"/>
      <c r="D10" s="331"/>
      <c r="E10" s="329" t="s">
        <v>197</v>
      </c>
      <c r="F10" s="329"/>
      <c r="G10" s="329"/>
      <c r="H10" s="329"/>
      <c r="I10" s="329"/>
      <c r="J10" s="330"/>
      <c r="K10" s="273"/>
    </row>
    <row r="11" spans="1:12" ht="15" customHeight="1" x14ac:dyDescent="0.2">
      <c r="A11" s="227"/>
      <c r="B11" s="458"/>
      <c r="C11" s="459"/>
      <c r="D11" s="190" t="s">
        <v>37</v>
      </c>
      <c r="E11" s="6" t="s">
        <v>387</v>
      </c>
      <c r="F11" s="3"/>
      <c r="G11" s="3"/>
      <c r="H11" s="148"/>
      <c r="I11" s="148"/>
      <c r="J11" s="229"/>
      <c r="K11" s="272"/>
    </row>
    <row r="12" spans="1:12" s="5" customFormat="1" ht="15" customHeight="1" x14ac:dyDescent="0.2">
      <c r="A12" s="228"/>
      <c r="B12" s="463"/>
      <c r="C12" s="464"/>
      <c r="D12" s="236" t="s">
        <v>27</v>
      </c>
      <c r="E12" s="231">
        <v>0.24929999999999999</v>
      </c>
      <c r="F12" s="232"/>
      <c r="G12" s="232"/>
      <c r="H12" s="233"/>
      <c r="I12" s="234"/>
      <c r="J12" s="235"/>
      <c r="K12" s="273"/>
    </row>
    <row r="13" spans="1:12" ht="15" customHeight="1" x14ac:dyDescent="0.2">
      <c r="B13" s="237"/>
      <c r="C13" s="238"/>
      <c r="D13" s="238"/>
      <c r="E13" s="239"/>
      <c r="F13" s="237"/>
      <c r="G13" s="237"/>
      <c r="H13" s="240"/>
      <c r="I13" s="241"/>
      <c r="J13" s="242"/>
      <c r="K13" s="136" t="s">
        <v>179</v>
      </c>
      <c r="L13" s="136"/>
    </row>
    <row r="14" spans="1:12" ht="15" customHeight="1" x14ac:dyDescent="0.2">
      <c r="A14" s="227"/>
      <c r="B14" s="245" t="s">
        <v>1</v>
      </c>
      <c r="C14" s="214" t="s">
        <v>30</v>
      </c>
      <c r="D14" s="245" t="s">
        <v>31</v>
      </c>
      <c r="E14" s="213" t="s">
        <v>2</v>
      </c>
      <c r="F14" s="207" t="s">
        <v>3</v>
      </c>
      <c r="G14" s="244" t="s">
        <v>4</v>
      </c>
      <c r="H14" s="206" t="s">
        <v>5</v>
      </c>
      <c r="I14" s="206" t="s">
        <v>6</v>
      </c>
      <c r="J14" s="206" t="s">
        <v>7</v>
      </c>
      <c r="K14" s="272"/>
    </row>
    <row r="15" spans="1:12" ht="15" customHeight="1" x14ac:dyDescent="0.2">
      <c r="A15" s="227"/>
      <c r="B15" s="284">
        <v>1</v>
      </c>
      <c r="C15" s="243" t="s">
        <v>8</v>
      </c>
      <c r="D15" s="243">
        <v>20000</v>
      </c>
      <c r="E15" s="316" t="s">
        <v>9</v>
      </c>
      <c r="F15" s="316"/>
      <c r="G15" s="316"/>
      <c r="H15" s="316"/>
      <c r="I15" s="316"/>
      <c r="J15" s="317"/>
      <c r="K15" s="272"/>
    </row>
    <row r="16" spans="1:12" ht="30" customHeight="1" x14ac:dyDescent="0.2">
      <c r="A16" s="227"/>
      <c r="B16" s="285" t="s">
        <v>63</v>
      </c>
      <c r="C16" s="7" t="s">
        <v>8</v>
      </c>
      <c r="D16" s="7">
        <v>21301</v>
      </c>
      <c r="E16" s="8" t="s">
        <v>129</v>
      </c>
      <c r="F16" s="9">
        <f>'MEMÓRIA DE CÁLCULO'!E18</f>
        <v>3</v>
      </c>
      <c r="G16" s="7" t="s">
        <v>25</v>
      </c>
      <c r="H16" s="150">
        <v>384.24</v>
      </c>
      <c r="I16" s="150">
        <v>2.57</v>
      </c>
      <c r="J16" s="246">
        <f t="shared" ref="J16:J25" si="0">(I16+H16)*F16</f>
        <v>1160.43</v>
      </c>
      <c r="K16" s="272"/>
    </row>
    <row r="17" spans="1:20" ht="15" customHeight="1" x14ac:dyDescent="0.2">
      <c r="A17" s="227"/>
      <c r="B17" s="285" t="s">
        <v>157</v>
      </c>
      <c r="C17" s="7" t="s">
        <v>8</v>
      </c>
      <c r="D17" s="7">
        <v>20202</v>
      </c>
      <c r="E17" s="10" t="s">
        <v>128</v>
      </c>
      <c r="F17" s="9">
        <f>'MEMÓRIA DE CÁLCULO'!E22</f>
        <v>5719</v>
      </c>
      <c r="G17" s="7" t="s">
        <v>25</v>
      </c>
      <c r="H17" s="150">
        <v>0</v>
      </c>
      <c r="I17" s="150">
        <v>2.16</v>
      </c>
      <c r="J17" s="246">
        <f t="shared" si="0"/>
        <v>12353.04</v>
      </c>
      <c r="K17" s="272"/>
    </row>
    <row r="18" spans="1:20" ht="30" customHeight="1" x14ac:dyDescent="0.2">
      <c r="A18" s="227"/>
      <c r="B18" s="285" t="s">
        <v>64</v>
      </c>
      <c r="C18" s="7" t="s">
        <v>8</v>
      </c>
      <c r="D18" s="11">
        <v>20703</v>
      </c>
      <c r="E18" s="12" t="s">
        <v>120</v>
      </c>
      <c r="F18" s="9">
        <f>'MEMÓRIA DE CÁLCULO'!E25</f>
        <v>2150</v>
      </c>
      <c r="G18" s="9" t="s">
        <v>10</v>
      </c>
      <c r="H18" s="150">
        <v>0.3</v>
      </c>
      <c r="I18" s="150">
        <v>0.09</v>
      </c>
      <c r="J18" s="246">
        <f t="shared" si="0"/>
        <v>838.5</v>
      </c>
      <c r="K18" s="277"/>
      <c r="L18" s="133"/>
      <c r="M18" s="133"/>
      <c r="N18" s="133"/>
      <c r="O18" s="133"/>
      <c r="P18" s="133"/>
      <c r="Q18" s="133"/>
      <c r="R18" s="133"/>
      <c r="S18" s="133"/>
      <c r="T18" s="133"/>
    </row>
    <row r="19" spans="1:20" ht="30" customHeight="1" x14ac:dyDescent="0.2">
      <c r="A19" s="227"/>
      <c r="B19" s="285" t="s">
        <v>65</v>
      </c>
      <c r="C19" s="7" t="s">
        <v>72</v>
      </c>
      <c r="D19" s="11">
        <v>37524</v>
      </c>
      <c r="E19" s="12" t="s">
        <v>205</v>
      </c>
      <c r="F19" s="9">
        <f>'MEMÓRIA DE CÁLCULO'!E29</f>
        <v>204.92000000000002</v>
      </c>
      <c r="G19" s="9" t="s">
        <v>86</v>
      </c>
      <c r="H19" s="320">
        <v>1.96</v>
      </c>
      <c r="I19" s="321"/>
      <c r="J19" s="246">
        <f t="shared" si="0"/>
        <v>401.64320000000004</v>
      </c>
      <c r="K19" s="277"/>
      <c r="L19" s="133"/>
      <c r="M19" s="133"/>
      <c r="N19" s="133"/>
      <c r="O19" s="133"/>
      <c r="P19" s="133"/>
      <c r="Q19" s="133"/>
      <c r="R19" s="133"/>
      <c r="S19" s="133"/>
      <c r="T19" s="133"/>
    </row>
    <row r="20" spans="1:20" ht="15" customHeight="1" x14ac:dyDescent="0.2">
      <c r="A20" s="227"/>
      <c r="B20" s="285" t="s">
        <v>66</v>
      </c>
      <c r="C20" s="7" t="s">
        <v>207</v>
      </c>
      <c r="D20" s="11">
        <v>1858</v>
      </c>
      <c r="E20" s="12" t="s">
        <v>224</v>
      </c>
      <c r="F20" s="9">
        <f>'MEMÓRIA DE CÁLCULO'!E33</f>
        <v>153.69</v>
      </c>
      <c r="G20" s="9" t="s">
        <v>86</v>
      </c>
      <c r="H20" s="150">
        <v>7.51</v>
      </c>
      <c r="I20" s="150">
        <v>0</v>
      </c>
      <c r="J20" s="246">
        <f t="shared" si="0"/>
        <v>1154.2119</v>
      </c>
      <c r="K20" s="277"/>
      <c r="L20" s="133"/>
      <c r="M20" s="133"/>
      <c r="N20" s="133"/>
      <c r="O20" s="133"/>
      <c r="P20" s="133"/>
      <c r="Q20" s="133"/>
      <c r="R20" s="133"/>
      <c r="S20" s="133"/>
      <c r="T20" s="133"/>
    </row>
    <row r="21" spans="1:20" ht="15" customHeight="1" x14ac:dyDescent="0.2">
      <c r="A21" s="227"/>
      <c r="B21" s="285" t="s">
        <v>67</v>
      </c>
      <c r="C21" s="7" t="s">
        <v>8</v>
      </c>
      <c r="D21" s="11">
        <v>21400</v>
      </c>
      <c r="E21" s="12" t="s">
        <v>60</v>
      </c>
      <c r="F21" s="9">
        <f>'MEMÓRIA DE CÁLCULO'!E38</f>
        <v>120.98063707887933</v>
      </c>
      <c r="G21" s="9" t="s">
        <v>24</v>
      </c>
      <c r="H21" s="150">
        <v>10.32</v>
      </c>
      <c r="I21" s="150">
        <v>0</v>
      </c>
      <c r="J21" s="246">
        <f t="shared" si="0"/>
        <v>1248.5201746540347</v>
      </c>
      <c r="K21" s="277"/>
      <c r="L21" s="133"/>
      <c r="M21" s="133"/>
      <c r="N21" s="133"/>
      <c r="O21" s="133"/>
      <c r="P21" s="133"/>
      <c r="Q21" s="133"/>
      <c r="R21" s="133"/>
      <c r="S21" s="133"/>
      <c r="T21" s="133"/>
    </row>
    <row r="22" spans="1:20" ht="15" customHeight="1" x14ac:dyDescent="0.2">
      <c r="A22" s="227"/>
      <c r="B22" s="285" t="s">
        <v>200</v>
      </c>
      <c r="C22" s="7" t="s">
        <v>8</v>
      </c>
      <c r="D22" s="11">
        <v>21401</v>
      </c>
      <c r="E22" s="12" t="s">
        <v>61</v>
      </c>
      <c r="F22" s="9">
        <f>'MEMÓRIA DE CÁLCULO'!E43</f>
        <v>861.39102394816507</v>
      </c>
      <c r="G22" s="9" t="s">
        <v>62</v>
      </c>
      <c r="H22" s="150">
        <v>0.87</v>
      </c>
      <c r="I22" s="150">
        <v>0</v>
      </c>
      <c r="J22" s="246">
        <f t="shared" si="0"/>
        <v>749.41019083490357</v>
      </c>
      <c r="K22" s="277"/>
      <c r="L22" s="133"/>
      <c r="M22" s="133"/>
      <c r="N22" s="133"/>
      <c r="O22" s="133"/>
      <c r="P22" s="133"/>
      <c r="Q22" s="133"/>
      <c r="R22" s="133"/>
      <c r="S22" s="133"/>
      <c r="T22" s="133"/>
    </row>
    <row r="23" spans="1:20" ht="30" customHeight="1" x14ac:dyDescent="0.2">
      <c r="A23" s="227"/>
      <c r="B23" s="285" t="s">
        <v>193</v>
      </c>
      <c r="C23" s="7" t="s">
        <v>8</v>
      </c>
      <c r="D23" s="11">
        <v>20400</v>
      </c>
      <c r="E23" s="12" t="s">
        <v>211</v>
      </c>
      <c r="F23" s="9">
        <f>'MEMÓRIA DE CÁLCULO'!E48</f>
        <v>8.7136730826043896E-2</v>
      </c>
      <c r="G23" s="9" t="s">
        <v>134</v>
      </c>
      <c r="H23" s="294">
        <v>1402.77</v>
      </c>
      <c r="I23" s="150">
        <v>1503.93</v>
      </c>
      <c r="J23" s="246">
        <f t="shared" si="0"/>
        <v>253.28033549206177</v>
      </c>
      <c r="K23" s="277"/>
      <c r="L23" s="133"/>
      <c r="M23" s="133"/>
      <c r="N23" s="133"/>
      <c r="O23" s="133"/>
      <c r="P23" s="133"/>
      <c r="Q23" s="133"/>
      <c r="R23" s="133"/>
      <c r="S23" s="133"/>
      <c r="T23" s="133"/>
    </row>
    <row r="24" spans="1:20" ht="15" customHeight="1" x14ac:dyDescent="0.2">
      <c r="A24" s="227"/>
      <c r="B24" s="285" t="s">
        <v>206</v>
      </c>
      <c r="C24" s="7" t="s">
        <v>8</v>
      </c>
      <c r="D24" s="11">
        <v>20501</v>
      </c>
      <c r="E24" s="12" t="s">
        <v>208</v>
      </c>
      <c r="F24" s="9">
        <f>'MEMÓRIA DE CÁLCULO'!E53</f>
        <v>8.7136730826043896E-2</v>
      </c>
      <c r="G24" s="9" t="s">
        <v>134</v>
      </c>
      <c r="H24" s="294">
        <v>4211.5200000000004</v>
      </c>
      <c r="I24" s="150">
        <v>576.5</v>
      </c>
      <c r="J24" s="246">
        <f t="shared" si="0"/>
        <v>417.21240992971474</v>
      </c>
      <c r="K24" s="277"/>
      <c r="L24" s="133"/>
      <c r="M24" s="133"/>
      <c r="N24" s="133"/>
      <c r="O24" s="133"/>
      <c r="P24" s="133"/>
      <c r="Q24" s="133"/>
      <c r="R24" s="133"/>
      <c r="S24" s="133"/>
      <c r="T24" s="133"/>
    </row>
    <row r="25" spans="1:20" ht="30" customHeight="1" x14ac:dyDescent="0.2">
      <c r="A25" s="227"/>
      <c r="B25" s="285" t="s">
        <v>209</v>
      </c>
      <c r="C25" s="120" t="s">
        <v>72</v>
      </c>
      <c r="D25" s="22">
        <v>10775</v>
      </c>
      <c r="E25" s="23" t="s">
        <v>152</v>
      </c>
      <c r="F25" s="9">
        <f>'MEMÓRIA DE CÁLCULO'!E56</f>
        <v>3</v>
      </c>
      <c r="G25" s="11" t="s">
        <v>71</v>
      </c>
      <c r="H25" s="465">
        <v>823</v>
      </c>
      <c r="I25" s="466"/>
      <c r="J25" s="246">
        <f t="shared" si="0"/>
        <v>2469</v>
      </c>
      <c r="K25" s="277"/>
      <c r="L25" s="133"/>
      <c r="M25" s="133"/>
      <c r="N25" s="133"/>
      <c r="O25" s="133"/>
      <c r="P25" s="133"/>
      <c r="Q25" s="133"/>
      <c r="R25" s="133"/>
      <c r="S25" s="133"/>
      <c r="T25" s="133"/>
    </row>
    <row r="26" spans="1:20" ht="45" customHeight="1" x14ac:dyDescent="0.2">
      <c r="A26" s="227"/>
      <c r="B26" s="255" t="s">
        <v>210</v>
      </c>
      <c r="C26" s="200" t="s">
        <v>72</v>
      </c>
      <c r="D26" s="200">
        <v>10776</v>
      </c>
      <c r="E26" s="218" t="s">
        <v>201</v>
      </c>
      <c r="F26" s="256">
        <f>'MEMÓRIA DE CÁLCULO'!E59</f>
        <v>3</v>
      </c>
      <c r="G26" s="201" t="s">
        <v>71</v>
      </c>
      <c r="H26" s="467">
        <v>642.96</v>
      </c>
      <c r="I26" s="468"/>
      <c r="J26" s="258">
        <f>(I26+H26)*F26</f>
        <v>1928.88</v>
      </c>
      <c r="K26" s="277"/>
      <c r="L26" s="133"/>
      <c r="M26" s="133"/>
      <c r="N26" s="133"/>
      <c r="O26" s="133"/>
      <c r="P26" s="133"/>
      <c r="Q26" s="133"/>
      <c r="R26" s="133"/>
      <c r="S26" s="133"/>
      <c r="T26" s="133"/>
    </row>
    <row r="27" spans="1:20" ht="15" customHeight="1" x14ac:dyDescent="0.2">
      <c r="A27" s="227"/>
      <c r="B27" s="322" t="s">
        <v>38</v>
      </c>
      <c r="C27" s="323"/>
      <c r="D27" s="323"/>
      <c r="E27" s="323"/>
      <c r="F27" s="323"/>
      <c r="G27" s="323"/>
      <c r="H27" s="323"/>
      <c r="I27" s="324"/>
      <c r="J27" s="226">
        <f>SUM(J16:J26)</f>
        <v>22974.128210910716</v>
      </c>
      <c r="K27" s="278">
        <f>J27*1.2493</f>
        <v>28701.578373890759</v>
      </c>
      <c r="L27" s="133"/>
      <c r="M27" s="133"/>
      <c r="N27" s="133"/>
      <c r="O27" s="133"/>
      <c r="P27" s="133"/>
      <c r="Q27" s="133"/>
      <c r="R27" s="133"/>
      <c r="S27" s="133"/>
      <c r="T27" s="133"/>
    </row>
    <row r="28" spans="1:20" ht="15" customHeight="1" x14ac:dyDescent="0.2">
      <c r="A28" s="227"/>
      <c r="B28" s="212" t="s">
        <v>1</v>
      </c>
      <c r="C28" s="253" t="s">
        <v>30</v>
      </c>
      <c r="D28" s="212" t="s">
        <v>31</v>
      </c>
      <c r="E28" s="254" t="s">
        <v>2</v>
      </c>
      <c r="F28" s="208" t="s">
        <v>3</v>
      </c>
      <c r="G28" s="209" t="s">
        <v>4</v>
      </c>
      <c r="H28" s="210" t="s">
        <v>5</v>
      </c>
      <c r="I28" s="210" t="s">
        <v>6</v>
      </c>
      <c r="J28" s="210" t="s">
        <v>7</v>
      </c>
      <c r="K28" s="272"/>
    </row>
    <row r="29" spans="1:20" ht="15" customHeight="1" x14ac:dyDescent="0.2">
      <c r="A29" s="227"/>
      <c r="B29" s="284">
        <v>2</v>
      </c>
      <c r="C29" s="243" t="s">
        <v>8</v>
      </c>
      <c r="D29" s="243">
        <v>30000</v>
      </c>
      <c r="E29" s="316" t="s">
        <v>11</v>
      </c>
      <c r="F29" s="316"/>
      <c r="G29" s="316"/>
      <c r="H29" s="316"/>
      <c r="I29" s="316"/>
      <c r="J29" s="317"/>
      <c r="K29" s="272"/>
    </row>
    <row r="30" spans="1:20" ht="15" customHeight="1" x14ac:dyDescent="0.2">
      <c r="A30" s="227"/>
      <c r="B30" s="285" t="s">
        <v>12</v>
      </c>
      <c r="C30" s="11" t="s">
        <v>8</v>
      </c>
      <c r="D30" s="11">
        <v>30106</v>
      </c>
      <c r="E30" s="12" t="s">
        <v>232</v>
      </c>
      <c r="F30" s="9">
        <f>'MEMÓRIA DE CÁLCULO'!E64</f>
        <v>171.57</v>
      </c>
      <c r="G30" s="11" t="s">
        <v>108</v>
      </c>
      <c r="H30" s="150">
        <v>33.549999999999997</v>
      </c>
      <c r="I30" s="150">
        <v>0</v>
      </c>
      <c r="J30" s="246">
        <f>(I30+H30)*F30</f>
        <v>5756.173499999999</v>
      </c>
      <c r="K30" s="277"/>
      <c r="L30" s="133"/>
      <c r="M30" s="133"/>
      <c r="N30" s="133"/>
      <c r="O30" s="133"/>
      <c r="P30" s="133"/>
      <c r="Q30" s="133"/>
      <c r="R30" s="133"/>
      <c r="S30" s="133"/>
      <c r="T30" s="133"/>
    </row>
    <row r="31" spans="1:20" ht="30" customHeight="1" x14ac:dyDescent="0.2">
      <c r="A31" s="227"/>
      <c r="B31" s="255" t="s">
        <v>29</v>
      </c>
      <c r="C31" s="200" t="s">
        <v>8</v>
      </c>
      <c r="D31" s="200">
        <v>30105</v>
      </c>
      <c r="E31" s="218" t="s">
        <v>226</v>
      </c>
      <c r="F31" s="256">
        <f>'MEMÓRIA DE CÁLCULO'!E68</f>
        <v>107.5</v>
      </c>
      <c r="G31" s="201" t="s">
        <v>108</v>
      </c>
      <c r="H31" s="257">
        <v>81.78</v>
      </c>
      <c r="I31" s="257">
        <v>7.01</v>
      </c>
      <c r="J31" s="258">
        <f>(I31+H31)*F31</f>
        <v>9544.9250000000011</v>
      </c>
      <c r="K31" s="277"/>
      <c r="L31" s="133"/>
      <c r="M31" s="133"/>
      <c r="N31" s="133"/>
      <c r="O31" s="133"/>
      <c r="P31" s="133"/>
      <c r="Q31" s="133"/>
      <c r="R31" s="133"/>
      <c r="S31" s="133"/>
      <c r="T31" s="133"/>
    </row>
    <row r="32" spans="1:20" ht="15" customHeight="1" x14ac:dyDescent="0.2">
      <c r="A32" s="227"/>
      <c r="B32" s="322" t="s">
        <v>38</v>
      </c>
      <c r="C32" s="323"/>
      <c r="D32" s="323"/>
      <c r="E32" s="323"/>
      <c r="F32" s="323"/>
      <c r="G32" s="323"/>
      <c r="H32" s="323"/>
      <c r="I32" s="324"/>
      <c r="J32" s="226">
        <f>SUM(J30:J31)</f>
        <v>15301.0985</v>
      </c>
      <c r="K32" s="278">
        <f>J32*1.2493</f>
        <v>19115.662356050001</v>
      </c>
      <c r="L32" s="133"/>
      <c r="M32" s="133"/>
      <c r="N32" s="133"/>
      <c r="O32" s="133"/>
      <c r="P32" s="133"/>
      <c r="Q32" s="133"/>
      <c r="R32" s="133"/>
      <c r="S32" s="133"/>
      <c r="T32" s="133"/>
    </row>
    <row r="33" spans="1:20" ht="15" customHeight="1" x14ac:dyDescent="0.2">
      <c r="A33" s="227"/>
      <c r="B33" s="212" t="s">
        <v>1</v>
      </c>
      <c r="C33" s="253" t="s">
        <v>30</v>
      </c>
      <c r="D33" s="212" t="s">
        <v>31</v>
      </c>
      <c r="E33" s="254" t="s">
        <v>2</v>
      </c>
      <c r="F33" s="208" t="s">
        <v>3</v>
      </c>
      <c r="G33" s="209" t="s">
        <v>4</v>
      </c>
      <c r="H33" s="210" t="s">
        <v>5</v>
      </c>
      <c r="I33" s="210" t="s">
        <v>6</v>
      </c>
      <c r="J33" s="210" t="s">
        <v>7</v>
      </c>
      <c r="K33" s="272"/>
    </row>
    <row r="34" spans="1:20" ht="15" customHeight="1" x14ac:dyDescent="0.2">
      <c r="A34" s="227"/>
      <c r="B34" s="284">
        <v>3</v>
      </c>
      <c r="C34" s="243" t="s">
        <v>8</v>
      </c>
      <c r="D34" s="243">
        <v>40000</v>
      </c>
      <c r="E34" s="316" t="s">
        <v>13</v>
      </c>
      <c r="F34" s="316"/>
      <c r="G34" s="316"/>
      <c r="H34" s="316"/>
      <c r="I34" s="316"/>
      <c r="J34" s="317"/>
      <c r="K34" s="272"/>
    </row>
    <row r="35" spans="1:20" ht="15" customHeight="1" x14ac:dyDescent="0.2">
      <c r="A35" s="227"/>
      <c r="B35" s="286" t="s">
        <v>79</v>
      </c>
      <c r="C35" s="11" t="s">
        <v>8</v>
      </c>
      <c r="D35" s="11">
        <v>40905</v>
      </c>
      <c r="E35" s="12" t="s">
        <v>77</v>
      </c>
      <c r="F35" s="9">
        <f>'MEMÓRIA DE CÁLCULO'!E74</f>
        <v>839.68</v>
      </c>
      <c r="G35" s="9" t="s">
        <v>25</v>
      </c>
      <c r="H35" s="150">
        <v>0.11</v>
      </c>
      <c r="I35" s="150">
        <v>0.26</v>
      </c>
      <c r="J35" s="246">
        <f t="shared" ref="J35:J41" si="1">(I35+H35)*F35</f>
        <v>310.6816</v>
      </c>
      <c r="K35" s="277"/>
      <c r="L35" s="133"/>
      <c r="M35" s="133"/>
      <c r="N35" s="133"/>
      <c r="O35" s="133"/>
      <c r="P35" s="133"/>
      <c r="Q35" s="133"/>
      <c r="R35" s="133"/>
      <c r="S35" s="133"/>
      <c r="T35" s="133"/>
    </row>
    <row r="36" spans="1:20" ht="30" customHeight="1" x14ac:dyDescent="0.2">
      <c r="A36" s="227"/>
      <c r="B36" s="286" t="s">
        <v>80</v>
      </c>
      <c r="C36" s="11" t="s">
        <v>8</v>
      </c>
      <c r="D36" s="11">
        <v>41140</v>
      </c>
      <c r="E36" s="12" t="s">
        <v>119</v>
      </c>
      <c r="F36" s="9">
        <f>'MEMÓRIA DE CÁLCULO'!E77</f>
        <v>2150</v>
      </c>
      <c r="G36" s="9" t="s">
        <v>25</v>
      </c>
      <c r="H36" s="150">
        <v>0</v>
      </c>
      <c r="I36" s="150">
        <v>2.19</v>
      </c>
      <c r="J36" s="246">
        <f t="shared" si="1"/>
        <v>4708.5</v>
      </c>
      <c r="K36" s="277"/>
      <c r="L36" s="133"/>
      <c r="M36" s="133"/>
      <c r="N36" s="133"/>
      <c r="O36" s="133"/>
      <c r="P36" s="133"/>
      <c r="Q36" s="133"/>
      <c r="R36" s="133"/>
      <c r="S36" s="133"/>
      <c r="T36" s="133"/>
    </row>
    <row r="37" spans="1:20" ht="15" customHeight="1" x14ac:dyDescent="0.2">
      <c r="A37" s="227"/>
      <c r="B37" s="286" t="s">
        <v>81</v>
      </c>
      <c r="C37" s="11" t="s">
        <v>8</v>
      </c>
      <c r="D37" s="11">
        <v>41004</v>
      </c>
      <c r="E37" s="12" t="s">
        <v>244</v>
      </c>
      <c r="F37" s="9">
        <f>'MEMÓRIA DE CÁLCULO'!E81</f>
        <v>217.49459999999999</v>
      </c>
      <c r="G37" s="9" t="s">
        <v>108</v>
      </c>
      <c r="H37" s="150">
        <v>1.8</v>
      </c>
      <c r="I37" s="150">
        <v>0</v>
      </c>
      <c r="J37" s="246">
        <f t="shared" si="1"/>
        <v>391.49027999999998</v>
      </c>
      <c r="K37" s="277"/>
      <c r="L37" s="133"/>
      <c r="M37" s="133"/>
      <c r="N37" s="133"/>
      <c r="O37" s="133"/>
      <c r="P37" s="133"/>
      <c r="Q37" s="133"/>
      <c r="R37" s="133"/>
      <c r="S37" s="133"/>
      <c r="T37" s="133"/>
    </row>
    <row r="38" spans="1:20" ht="15" customHeight="1" x14ac:dyDescent="0.2">
      <c r="A38" s="227"/>
      <c r="B38" s="286" t="s">
        <v>82</v>
      </c>
      <c r="C38" s="11" t="s">
        <v>8</v>
      </c>
      <c r="D38" s="11">
        <v>41005</v>
      </c>
      <c r="E38" s="12" t="s">
        <v>78</v>
      </c>
      <c r="F38" s="9">
        <f>'MEMÓRIA DE CÁLCULO'!E85</f>
        <v>217.49459999999999</v>
      </c>
      <c r="G38" s="9" t="s">
        <v>108</v>
      </c>
      <c r="H38" s="150">
        <v>1.35</v>
      </c>
      <c r="I38" s="150">
        <v>0</v>
      </c>
      <c r="J38" s="246">
        <f>(I38+H38)*F38</f>
        <v>293.61770999999999</v>
      </c>
      <c r="K38" s="277"/>
      <c r="L38" s="133"/>
      <c r="M38" s="133"/>
      <c r="N38" s="133"/>
      <c r="O38" s="133"/>
      <c r="P38" s="133"/>
      <c r="Q38" s="133"/>
      <c r="R38" s="133"/>
      <c r="S38" s="133"/>
      <c r="T38" s="133"/>
    </row>
    <row r="39" spans="1:20" ht="15" customHeight="1" x14ac:dyDescent="0.2">
      <c r="A39" s="227"/>
      <c r="B39" s="286" t="s">
        <v>235</v>
      </c>
      <c r="C39" s="11" t="s">
        <v>8</v>
      </c>
      <c r="D39" s="11">
        <v>41006</v>
      </c>
      <c r="E39" s="12" t="s">
        <v>245</v>
      </c>
      <c r="F39" s="9">
        <f>'MEMÓRIA DE CÁLCULO'!E89</f>
        <v>3262.4189999999999</v>
      </c>
      <c r="G39" s="9" t="s">
        <v>243</v>
      </c>
      <c r="H39" s="150">
        <v>2.65</v>
      </c>
      <c r="I39" s="150">
        <v>0</v>
      </c>
      <c r="J39" s="246">
        <f t="shared" si="1"/>
        <v>8645.4103500000001</v>
      </c>
      <c r="K39" s="277"/>
      <c r="L39" s="133"/>
      <c r="M39" s="133"/>
      <c r="N39" s="133"/>
      <c r="O39" s="133"/>
      <c r="P39" s="133"/>
      <c r="Q39" s="133"/>
      <c r="R39" s="133"/>
      <c r="S39" s="133"/>
      <c r="T39" s="133"/>
    </row>
    <row r="40" spans="1:20" ht="15" customHeight="1" x14ac:dyDescent="0.2">
      <c r="A40" s="227"/>
      <c r="B40" s="286" t="s">
        <v>240</v>
      </c>
      <c r="C40" s="11" t="s">
        <v>8</v>
      </c>
      <c r="D40" s="11">
        <v>41009</v>
      </c>
      <c r="E40" s="12" t="s">
        <v>234</v>
      </c>
      <c r="F40" s="9">
        <f>'MEMÓRIA DE CÁLCULO'!E92</f>
        <v>1304.9675999999999</v>
      </c>
      <c r="G40" s="9" t="s">
        <v>108</v>
      </c>
      <c r="H40" s="150">
        <v>1.8</v>
      </c>
      <c r="I40" s="150">
        <v>0</v>
      </c>
      <c r="J40" s="246">
        <f t="shared" si="1"/>
        <v>2348.9416799999999</v>
      </c>
      <c r="K40" s="277"/>
      <c r="L40" s="133"/>
      <c r="M40" s="133"/>
      <c r="N40" s="133"/>
      <c r="O40" s="133"/>
      <c r="P40" s="133"/>
      <c r="Q40" s="133"/>
      <c r="R40" s="133"/>
      <c r="S40" s="133"/>
      <c r="T40" s="133"/>
    </row>
    <row r="41" spans="1:20" ht="15" customHeight="1" x14ac:dyDescent="0.2">
      <c r="A41" s="227"/>
      <c r="B41" s="286" t="s">
        <v>241</v>
      </c>
      <c r="C41" s="22" t="s">
        <v>72</v>
      </c>
      <c r="D41" s="22">
        <v>6081</v>
      </c>
      <c r="E41" s="121" t="s">
        <v>106</v>
      </c>
      <c r="F41" s="9">
        <f>'MEMÓRIA DE CÁLCULO'!E98</f>
        <v>1304.9675999999999</v>
      </c>
      <c r="G41" s="15" t="s">
        <v>108</v>
      </c>
      <c r="H41" s="320">
        <v>51.12</v>
      </c>
      <c r="I41" s="321"/>
      <c r="J41" s="246">
        <f t="shared" si="1"/>
        <v>66709.943711999993</v>
      </c>
      <c r="K41" s="277"/>
      <c r="L41" s="133"/>
      <c r="M41" s="133"/>
      <c r="N41" s="133"/>
      <c r="O41" s="133"/>
      <c r="P41" s="133"/>
      <c r="Q41" s="133"/>
      <c r="R41" s="133"/>
      <c r="S41" s="133"/>
      <c r="T41" s="133"/>
    </row>
    <row r="42" spans="1:20" ht="15" customHeight="1" x14ac:dyDescent="0.2">
      <c r="A42" s="227"/>
      <c r="B42" s="255" t="s">
        <v>242</v>
      </c>
      <c r="C42" s="259" t="s">
        <v>8</v>
      </c>
      <c r="D42" s="259">
        <v>41012</v>
      </c>
      <c r="E42" s="260" t="s">
        <v>271</v>
      </c>
      <c r="F42" s="201">
        <f>'MEMÓRIA DE CÁLCULO'!E101</f>
        <v>1304.9675999999999</v>
      </c>
      <c r="G42" s="261" t="s">
        <v>108</v>
      </c>
      <c r="H42" s="257">
        <v>5</v>
      </c>
      <c r="I42" s="257">
        <v>0</v>
      </c>
      <c r="J42" s="258">
        <f>(I42+H42)*F42</f>
        <v>6524.8379999999997</v>
      </c>
      <c r="K42" s="277"/>
      <c r="L42" s="133"/>
      <c r="M42" s="133"/>
      <c r="N42" s="133"/>
      <c r="O42" s="133"/>
      <c r="P42" s="133"/>
      <c r="Q42" s="133"/>
      <c r="R42" s="133"/>
      <c r="S42" s="133"/>
      <c r="T42" s="133"/>
    </row>
    <row r="43" spans="1:20" ht="15" customHeight="1" x14ac:dyDescent="0.2">
      <c r="A43" s="227"/>
      <c r="B43" s="322" t="s">
        <v>38</v>
      </c>
      <c r="C43" s="323"/>
      <c r="D43" s="323"/>
      <c r="E43" s="323"/>
      <c r="F43" s="323"/>
      <c r="G43" s="323"/>
      <c r="H43" s="323"/>
      <c r="I43" s="324"/>
      <c r="J43" s="226">
        <f>SUM(J35:J42)</f>
        <v>89933.423331999991</v>
      </c>
      <c r="K43" s="278">
        <f>J43*1.2493</f>
        <v>112353.82576866759</v>
      </c>
      <c r="L43" s="133"/>
      <c r="M43" s="133"/>
      <c r="N43" s="133"/>
      <c r="O43" s="133"/>
      <c r="P43" s="133"/>
      <c r="Q43" s="133"/>
      <c r="R43" s="133"/>
      <c r="S43" s="133"/>
      <c r="T43" s="133"/>
    </row>
    <row r="44" spans="1:20" ht="15" customHeight="1" x14ac:dyDescent="0.2">
      <c r="A44" s="227"/>
      <c r="B44" s="212" t="s">
        <v>1</v>
      </c>
      <c r="C44" s="253" t="s">
        <v>30</v>
      </c>
      <c r="D44" s="212" t="s">
        <v>31</v>
      </c>
      <c r="E44" s="254" t="s">
        <v>2</v>
      </c>
      <c r="F44" s="208" t="s">
        <v>3</v>
      </c>
      <c r="G44" s="209" t="s">
        <v>4</v>
      </c>
      <c r="H44" s="210" t="s">
        <v>5</v>
      </c>
      <c r="I44" s="210" t="s">
        <v>6</v>
      </c>
      <c r="J44" s="210" t="s">
        <v>7</v>
      </c>
      <c r="K44" s="272"/>
    </row>
    <row r="45" spans="1:20" ht="15" customHeight="1" x14ac:dyDescent="0.2">
      <c r="A45" s="227"/>
      <c r="B45" s="284">
        <v>4</v>
      </c>
      <c r="C45" s="243" t="s">
        <v>8</v>
      </c>
      <c r="D45" s="243">
        <v>500000</v>
      </c>
      <c r="E45" s="316" t="s">
        <v>316</v>
      </c>
      <c r="F45" s="316"/>
      <c r="G45" s="316"/>
      <c r="H45" s="316"/>
      <c r="I45" s="316"/>
      <c r="J45" s="317"/>
      <c r="K45" s="272"/>
    </row>
    <row r="46" spans="1:20" ht="15" customHeight="1" x14ac:dyDescent="0.2">
      <c r="A46" s="227"/>
      <c r="B46" s="286" t="s">
        <v>83</v>
      </c>
      <c r="C46" s="11" t="s">
        <v>8</v>
      </c>
      <c r="D46" s="11">
        <v>50302</v>
      </c>
      <c r="E46" s="12" t="s">
        <v>320</v>
      </c>
      <c r="F46" s="9">
        <f>'MEMÓRIA DE CÁLCULO'!E107</f>
        <v>40</v>
      </c>
      <c r="G46" s="9" t="s">
        <v>86</v>
      </c>
      <c r="H46" s="150">
        <v>32.950000000000003</v>
      </c>
      <c r="I46" s="150">
        <v>30.28</v>
      </c>
      <c r="J46" s="246">
        <f t="shared" ref="J46:J50" si="2">(I46+H46)*F46</f>
        <v>2529.2000000000003</v>
      </c>
      <c r="K46" s="277"/>
      <c r="L46" s="133"/>
      <c r="M46" s="133"/>
      <c r="N46" s="133"/>
      <c r="O46" s="133"/>
      <c r="P46" s="133"/>
      <c r="Q46" s="133"/>
      <c r="R46" s="133"/>
      <c r="S46" s="133"/>
      <c r="T46" s="133"/>
    </row>
    <row r="47" spans="1:20" ht="15" customHeight="1" x14ac:dyDescent="0.2">
      <c r="A47" s="227"/>
      <c r="B47" s="286" t="s">
        <v>317</v>
      </c>
      <c r="C47" s="11" t="s">
        <v>8</v>
      </c>
      <c r="D47" s="11">
        <v>52005</v>
      </c>
      <c r="E47" s="12" t="s">
        <v>189</v>
      </c>
      <c r="F47" s="9">
        <f>'MEMÓRIA DE CÁLCULO'!E111</f>
        <v>115.617</v>
      </c>
      <c r="G47" s="9" t="s">
        <v>183</v>
      </c>
      <c r="H47" s="150">
        <v>9.6300000000000008</v>
      </c>
      <c r="I47" s="150">
        <v>2.44</v>
      </c>
      <c r="J47" s="246">
        <f t="shared" si="2"/>
        <v>1395.49719</v>
      </c>
      <c r="K47" s="277"/>
      <c r="L47" s="133"/>
      <c r="M47" s="133"/>
      <c r="N47" s="133"/>
      <c r="O47" s="133"/>
      <c r="P47" s="133"/>
      <c r="Q47" s="133"/>
      <c r="R47" s="133"/>
      <c r="S47" s="133"/>
      <c r="T47" s="133"/>
    </row>
    <row r="48" spans="1:20" ht="15" customHeight="1" x14ac:dyDescent="0.2">
      <c r="A48" s="227"/>
      <c r="B48" s="286" t="s">
        <v>318</v>
      </c>
      <c r="C48" s="22" t="s">
        <v>8</v>
      </c>
      <c r="D48" s="22">
        <v>52003</v>
      </c>
      <c r="E48" s="121" t="s">
        <v>319</v>
      </c>
      <c r="F48" s="9">
        <f>'MEMÓRIA DE CÁLCULO'!E115</f>
        <v>85.245000000000005</v>
      </c>
      <c r="G48" s="15" t="s">
        <v>183</v>
      </c>
      <c r="H48" s="320">
        <v>10.23</v>
      </c>
      <c r="I48" s="321">
        <v>2.44</v>
      </c>
      <c r="J48" s="246">
        <f t="shared" si="2"/>
        <v>1080.0541500000002</v>
      </c>
      <c r="K48" s="277"/>
      <c r="L48" s="133"/>
      <c r="M48" s="133"/>
      <c r="N48" s="133"/>
      <c r="O48" s="133"/>
      <c r="P48" s="133"/>
      <c r="Q48" s="133"/>
      <c r="R48" s="133"/>
      <c r="S48" s="133"/>
      <c r="T48" s="133"/>
    </row>
    <row r="49" spans="1:20" ht="15" customHeight="1" x14ac:dyDescent="0.2">
      <c r="A49" s="227"/>
      <c r="B49" s="288" t="s">
        <v>388</v>
      </c>
      <c r="C49" s="22" t="s">
        <v>8</v>
      </c>
      <c r="D49" s="291">
        <v>51027</v>
      </c>
      <c r="E49" s="292" t="s">
        <v>392</v>
      </c>
      <c r="F49" s="192">
        <f>'MEMÓRIA DE CÁLCULO'!E119</f>
        <v>9.0813199999999998</v>
      </c>
      <c r="G49" s="293" t="s">
        <v>108</v>
      </c>
      <c r="H49" s="150">
        <v>176.97</v>
      </c>
      <c r="I49" s="150">
        <v>21.56</v>
      </c>
      <c r="J49" s="246">
        <f t="shared" si="2"/>
        <v>1802.9144595999999</v>
      </c>
      <c r="K49" s="277"/>
      <c r="L49" s="133"/>
      <c r="M49" s="133"/>
      <c r="N49" s="133"/>
      <c r="O49" s="133"/>
      <c r="P49" s="133"/>
      <c r="Q49" s="133"/>
      <c r="R49" s="133"/>
      <c r="S49" s="133"/>
      <c r="T49" s="133"/>
    </row>
    <row r="50" spans="1:20" ht="30" customHeight="1" x14ac:dyDescent="0.2">
      <c r="A50" s="227"/>
      <c r="B50" s="255" t="s">
        <v>391</v>
      </c>
      <c r="C50" s="259" t="s">
        <v>8</v>
      </c>
      <c r="D50" s="259">
        <v>51017</v>
      </c>
      <c r="E50" s="289" t="s">
        <v>389</v>
      </c>
      <c r="F50" s="201">
        <f>'MEMÓRIA DE CÁLCULO'!E122</f>
        <v>9.1</v>
      </c>
      <c r="G50" s="261" t="s">
        <v>108</v>
      </c>
      <c r="H50" s="257">
        <v>474.04</v>
      </c>
      <c r="I50" s="257">
        <v>63.95</v>
      </c>
      <c r="J50" s="290">
        <f t="shared" si="2"/>
        <v>4895.7089999999998</v>
      </c>
      <c r="K50" s="277"/>
      <c r="L50" s="133"/>
      <c r="M50" s="133"/>
      <c r="N50" s="133"/>
      <c r="O50" s="133"/>
      <c r="P50" s="133"/>
      <c r="Q50" s="133"/>
      <c r="R50" s="133"/>
      <c r="S50" s="133"/>
      <c r="T50" s="133"/>
    </row>
    <row r="51" spans="1:20" ht="15" customHeight="1" x14ac:dyDescent="0.2">
      <c r="A51" s="227"/>
      <c r="B51" s="322" t="s">
        <v>38</v>
      </c>
      <c r="C51" s="323"/>
      <c r="D51" s="323"/>
      <c r="E51" s="323"/>
      <c r="F51" s="323"/>
      <c r="G51" s="323"/>
      <c r="H51" s="323"/>
      <c r="I51" s="324"/>
      <c r="J51" s="225">
        <f>SUM(J46:J50)</f>
        <v>11703.3747996</v>
      </c>
      <c r="K51" s="278">
        <f>J51*1.2493</f>
        <v>14621.026137140281</v>
      </c>
      <c r="L51" s="133"/>
      <c r="M51" s="133"/>
      <c r="N51" s="133"/>
      <c r="O51" s="133"/>
      <c r="P51" s="133"/>
      <c r="Q51" s="133"/>
      <c r="R51" s="133"/>
      <c r="S51" s="133"/>
      <c r="T51" s="133"/>
    </row>
    <row r="52" spans="1:20" ht="15" customHeight="1" x14ac:dyDescent="0.2">
      <c r="A52" s="227"/>
      <c r="B52" s="212" t="s">
        <v>1</v>
      </c>
      <c r="C52" s="253" t="s">
        <v>30</v>
      </c>
      <c r="D52" s="212" t="s">
        <v>31</v>
      </c>
      <c r="E52" s="254" t="s">
        <v>2</v>
      </c>
      <c r="F52" s="208" t="s">
        <v>3</v>
      </c>
      <c r="G52" s="209" t="s">
        <v>4</v>
      </c>
      <c r="H52" s="210" t="s">
        <v>5</v>
      </c>
      <c r="I52" s="210" t="s">
        <v>6</v>
      </c>
      <c r="J52" s="210" t="s">
        <v>7</v>
      </c>
      <c r="K52" s="272"/>
    </row>
    <row r="53" spans="1:20" ht="15" customHeight="1" x14ac:dyDescent="0.2">
      <c r="A53" s="227"/>
      <c r="B53" s="284">
        <v>5</v>
      </c>
      <c r="C53" s="243" t="s">
        <v>14</v>
      </c>
      <c r="D53" s="243">
        <v>70000</v>
      </c>
      <c r="E53" s="316" t="s">
        <v>15</v>
      </c>
      <c r="F53" s="316"/>
      <c r="G53" s="316"/>
      <c r="H53" s="316"/>
      <c r="I53" s="316"/>
      <c r="J53" s="317"/>
      <c r="K53" s="272"/>
    </row>
    <row r="54" spans="1:20" ht="15" customHeight="1" x14ac:dyDescent="0.2">
      <c r="A54" s="227"/>
      <c r="B54" s="195" t="s">
        <v>84</v>
      </c>
      <c r="C54" s="11" t="s">
        <v>8</v>
      </c>
      <c r="D54" s="11">
        <v>70509</v>
      </c>
      <c r="E54" s="12" t="s">
        <v>89</v>
      </c>
      <c r="F54" s="9">
        <f>'MEMÓRIA DE CÁLCULO'!E125</f>
        <v>312.64999999999998</v>
      </c>
      <c r="G54" s="9" t="s">
        <v>86</v>
      </c>
      <c r="H54" s="150">
        <v>8.2799999999999994</v>
      </c>
      <c r="I54" s="150">
        <v>2.14</v>
      </c>
      <c r="J54" s="246">
        <f t="shared" ref="J54:J69" si="3">(I54+H54)*F54</f>
        <v>3257.8129999999996</v>
      </c>
      <c r="K54" s="277"/>
      <c r="L54" s="133"/>
      <c r="M54" s="133"/>
      <c r="N54" s="133"/>
      <c r="O54" s="133"/>
      <c r="P54" s="133"/>
      <c r="Q54" s="133"/>
      <c r="R54" s="133"/>
      <c r="S54" s="133"/>
      <c r="T54" s="133"/>
    </row>
    <row r="55" spans="1:20" ht="15" customHeight="1" x14ac:dyDescent="0.2">
      <c r="A55" s="227"/>
      <c r="B55" s="195" t="s">
        <v>142</v>
      </c>
      <c r="C55" s="11" t="s">
        <v>8</v>
      </c>
      <c r="D55" s="11">
        <v>70582</v>
      </c>
      <c r="E55" s="12" t="s">
        <v>140</v>
      </c>
      <c r="F55" s="9">
        <f>'MEMÓRIA DE CÁLCULO'!E126</f>
        <v>196.88</v>
      </c>
      <c r="G55" s="9" t="s">
        <v>86</v>
      </c>
      <c r="H55" s="150">
        <v>6.43</v>
      </c>
      <c r="I55" s="150">
        <v>1.83</v>
      </c>
      <c r="J55" s="246">
        <f t="shared" si="3"/>
        <v>1626.2287999999999</v>
      </c>
      <c r="K55" s="277"/>
      <c r="L55" s="133"/>
      <c r="M55" s="133"/>
      <c r="N55" s="133"/>
      <c r="O55" s="133"/>
      <c r="P55" s="133"/>
      <c r="Q55" s="133"/>
      <c r="R55" s="133"/>
      <c r="S55" s="133"/>
      <c r="T55" s="133"/>
    </row>
    <row r="56" spans="1:20" ht="15" customHeight="1" x14ac:dyDescent="0.2">
      <c r="A56" s="227"/>
      <c r="B56" s="195" t="s">
        <v>143</v>
      </c>
      <c r="C56" s="11" t="s">
        <v>8</v>
      </c>
      <c r="D56" s="11">
        <v>70583</v>
      </c>
      <c r="E56" s="12" t="s">
        <v>141</v>
      </c>
      <c r="F56" s="9">
        <f>'MEMÓRIA DE CÁLCULO'!E127</f>
        <v>523.6</v>
      </c>
      <c r="G56" s="9" t="s">
        <v>86</v>
      </c>
      <c r="H56" s="150">
        <v>6.58</v>
      </c>
      <c r="I56" s="150">
        <v>1.99</v>
      </c>
      <c r="J56" s="246">
        <f t="shared" si="3"/>
        <v>4487.2520000000004</v>
      </c>
      <c r="K56" s="277"/>
      <c r="L56" s="133"/>
      <c r="M56" s="133"/>
      <c r="N56" s="133"/>
      <c r="O56" s="133"/>
      <c r="P56" s="133"/>
      <c r="Q56" s="133"/>
      <c r="R56" s="133"/>
      <c r="S56" s="133"/>
      <c r="T56" s="133"/>
    </row>
    <row r="57" spans="1:20" ht="15" customHeight="1" x14ac:dyDescent="0.2">
      <c r="A57" s="227"/>
      <c r="B57" s="195" t="s">
        <v>144</v>
      </c>
      <c r="C57" s="11" t="s">
        <v>8</v>
      </c>
      <c r="D57" s="11">
        <v>70510</v>
      </c>
      <c r="E57" s="12" t="s">
        <v>265</v>
      </c>
      <c r="F57" s="9">
        <f>'MEMÓRIA DE CÁLCULO'!E128</f>
        <v>385.74</v>
      </c>
      <c r="G57" s="9" t="s">
        <v>86</v>
      </c>
      <c r="H57" s="150">
        <v>15.4</v>
      </c>
      <c r="I57" s="150">
        <v>2.44</v>
      </c>
      <c r="J57" s="246">
        <f t="shared" si="3"/>
        <v>6881.6016</v>
      </c>
      <c r="K57" s="277"/>
      <c r="L57" s="133"/>
      <c r="M57" s="133"/>
      <c r="N57" s="133"/>
      <c r="O57" s="133"/>
      <c r="P57" s="133"/>
      <c r="Q57" s="133"/>
      <c r="R57" s="133"/>
      <c r="S57" s="133"/>
      <c r="T57" s="133"/>
    </row>
    <row r="58" spans="1:20" ht="15" customHeight="1" x14ac:dyDescent="0.2">
      <c r="A58" s="227"/>
      <c r="B58" s="195" t="s">
        <v>145</v>
      </c>
      <c r="C58" s="11" t="s">
        <v>8</v>
      </c>
      <c r="D58" s="11">
        <v>70511</v>
      </c>
      <c r="E58" s="12" t="s">
        <v>266</v>
      </c>
      <c r="F58" s="9">
        <f>'MEMÓRIA DE CÁLCULO'!E129</f>
        <v>587.6</v>
      </c>
      <c r="G58" s="9" t="s">
        <v>86</v>
      </c>
      <c r="H58" s="150">
        <v>26.52</v>
      </c>
      <c r="I58" s="150">
        <v>2.6</v>
      </c>
      <c r="J58" s="246">
        <f t="shared" si="3"/>
        <v>17110.912</v>
      </c>
      <c r="K58" s="277"/>
      <c r="L58" s="133"/>
      <c r="M58" s="133"/>
      <c r="N58" s="133"/>
      <c r="O58" s="133"/>
      <c r="P58" s="133"/>
      <c r="Q58" s="133"/>
      <c r="R58" s="133"/>
      <c r="S58" s="133"/>
      <c r="T58" s="133"/>
    </row>
    <row r="59" spans="1:20" ht="15" customHeight="1" x14ac:dyDescent="0.2">
      <c r="A59" s="227"/>
      <c r="B59" s="195" t="s">
        <v>146</v>
      </c>
      <c r="C59" s="11" t="s">
        <v>8</v>
      </c>
      <c r="D59" s="11">
        <v>70634</v>
      </c>
      <c r="E59" s="12" t="s">
        <v>87</v>
      </c>
      <c r="F59" s="9">
        <f>'MEMÓRIA DE CÁLCULO'!E130</f>
        <v>0.625</v>
      </c>
      <c r="G59" s="9" t="s">
        <v>25</v>
      </c>
      <c r="H59" s="150">
        <v>88.62</v>
      </c>
      <c r="I59" s="150">
        <v>15.22</v>
      </c>
      <c r="J59" s="246">
        <f t="shared" si="3"/>
        <v>64.900000000000006</v>
      </c>
      <c r="K59" s="277"/>
      <c r="L59" s="133"/>
      <c r="M59" s="133"/>
      <c r="N59" s="133"/>
      <c r="O59" s="133"/>
      <c r="P59" s="133"/>
      <c r="Q59" s="133"/>
      <c r="R59" s="133"/>
      <c r="S59" s="133"/>
      <c r="T59" s="133"/>
    </row>
    <row r="60" spans="1:20" ht="15" customHeight="1" x14ac:dyDescent="0.2">
      <c r="A60" s="227"/>
      <c r="B60" s="195" t="s">
        <v>147</v>
      </c>
      <c r="C60" s="11" t="s">
        <v>8</v>
      </c>
      <c r="D60" s="11">
        <v>70709</v>
      </c>
      <c r="E60" s="12" t="s">
        <v>88</v>
      </c>
      <c r="F60" s="9">
        <f>'MEMÓRIA DE CÁLCULO'!E131</f>
        <v>10</v>
      </c>
      <c r="G60" s="9" t="s">
        <v>134</v>
      </c>
      <c r="H60" s="150">
        <v>22.42</v>
      </c>
      <c r="I60" s="150">
        <v>29.54</v>
      </c>
      <c r="J60" s="246">
        <f t="shared" si="3"/>
        <v>519.6</v>
      </c>
      <c r="K60" s="277"/>
      <c r="L60" s="133"/>
      <c r="M60" s="133"/>
      <c r="N60" s="133"/>
      <c r="O60" s="133"/>
      <c r="P60" s="133"/>
      <c r="Q60" s="133"/>
      <c r="R60" s="133"/>
      <c r="S60" s="133"/>
      <c r="T60" s="133"/>
    </row>
    <row r="61" spans="1:20" ht="15" customHeight="1" x14ac:dyDescent="0.2">
      <c r="A61" s="227"/>
      <c r="B61" s="195" t="s">
        <v>148</v>
      </c>
      <c r="C61" s="11" t="s">
        <v>8</v>
      </c>
      <c r="D61" s="11">
        <v>71197</v>
      </c>
      <c r="E61" s="12" t="s">
        <v>268</v>
      </c>
      <c r="F61" s="9">
        <f>'MEMÓRIA DE CÁLCULO'!E132</f>
        <v>239.58000000000004</v>
      </c>
      <c r="G61" s="9" t="s">
        <v>86</v>
      </c>
      <c r="H61" s="150">
        <v>3.53</v>
      </c>
      <c r="I61" s="150">
        <v>11.3</v>
      </c>
      <c r="J61" s="246">
        <f t="shared" si="3"/>
        <v>3552.9714000000008</v>
      </c>
      <c r="K61" s="277"/>
      <c r="L61" s="133"/>
      <c r="M61" s="133"/>
      <c r="N61" s="133"/>
      <c r="O61" s="133"/>
      <c r="P61" s="133"/>
      <c r="Q61" s="133"/>
      <c r="R61" s="133"/>
      <c r="S61" s="133"/>
      <c r="T61" s="133"/>
    </row>
    <row r="62" spans="1:20" ht="15" customHeight="1" x14ac:dyDescent="0.2">
      <c r="A62" s="227"/>
      <c r="B62" s="195" t="s">
        <v>251</v>
      </c>
      <c r="C62" s="11" t="s">
        <v>8</v>
      </c>
      <c r="D62" s="11">
        <v>71199</v>
      </c>
      <c r="E62" s="12" t="s">
        <v>267</v>
      </c>
      <c r="F62" s="9">
        <f>'MEMÓRIA DE CÁLCULO'!E133</f>
        <v>12.7</v>
      </c>
      <c r="G62" s="9" t="s">
        <v>86</v>
      </c>
      <c r="H62" s="150">
        <v>8.32</v>
      </c>
      <c r="I62" s="150">
        <v>24.43</v>
      </c>
      <c r="J62" s="246">
        <f t="shared" si="3"/>
        <v>415.92499999999995</v>
      </c>
      <c r="K62" s="277"/>
      <c r="L62" s="133"/>
      <c r="M62" s="133"/>
      <c r="N62" s="133"/>
      <c r="O62" s="133"/>
      <c r="P62" s="133"/>
      <c r="Q62" s="133"/>
      <c r="R62" s="133"/>
      <c r="S62" s="133"/>
      <c r="T62" s="133"/>
    </row>
    <row r="63" spans="1:20" ht="15" customHeight="1" x14ac:dyDescent="0.2">
      <c r="A63" s="227"/>
      <c r="B63" s="195" t="s">
        <v>252</v>
      </c>
      <c r="C63" s="11" t="s">
        <v>8</v>
      </c>
      <c r="D63" s="11">
        <v>71381</v>
      </c>
      <c r="E63" s="12" t="s">
        <v>90</v>
      </c>
      <c r="F63" s="9">
        <f>'MEMÓRIA DE CÁLCULO'!E134</f>
        <v>1</v>
      </c>
      <c r="G63" s="9" t="s">
        <v>134</v>
      </c>
      <c r="H63" s="150">
        <v>86.52</v>
      </c>
      <c r="I63" s="150">
        <v>12.21</v>
      </c>
      <c r="J63" s="246">
        <f t="shared" si="3"/>
        <v>98.72999999999999</v>
      </c>
      <c r="K63" s="277"/>
      <c r="L63" s="133"/>
      <c r="M63" s="133"/>
      <c r="N63" s="133"/>
      <c r="O63" s="133"/>
      <c r="P63" s="133"/>
      <c r="Q63" s="133"/>
      <c r="R63" s="133"/>
      <c r="S63" s="133"/>
      <c r="T63" s="133"/>
    </row>
    <row r="64" spans="1:20" ht="15" customHeight="1" x14ac:dyDescent="0.2">
      <c r="A64" s="227"/>
      <c r="B64" s="195" t="s">
        <v>253</v>
      </c>
      <c r="C64" s="11" t="s">
        <v>8</v>
      </c>
      <c r="D64" s="11">
        <v>71826</v>
      </c>
      <c r="E64" s="12" t="s">
        <v>139</v>
      </c>
      <c r="F64" s="9">
        <f>'MEMÓRIA DE CÁLCULO'!E135</f>
        <v>1</v>
      </c>
      <c r="G64" s="9" t="s">
        <v>134</v>
      </c>
      <c r="H64" s="150">
        <v>2907.39</v>
      </c>
      <c r="I64" s="150">
        <v>69.75</v>
      </c>
      <c r="J64" s="246">
        <f t="shared" si="3"/>
        <v>2977.14</v>
      </c>
      <c r="K64" s="277"/>
      <c r="L64" s="133"/>
      <c r="M64" s="133"/>
      <c r="N64" s="133"/>
      <c r="O64" s="133"/>
      <c r="P64" s="133"/>
      <c r="Q64" s="133"/>
      <c r="R64" s="133"/>
      <c r="S64" s="133"/>
      <c r="T64" s="133"/>
    </row>
    <row r="65" spans="1:20" ht="45" customHeight="1" x14ac:dyDescent="0.2">
      <c r="A65" s="227"/>
      <c r="B65" s="195" t="s">
        <v>254</v>
      </c>
      <c r="C65" s="11" t="s">
        <v>8</v>
      </c>
      <c r="D65" s="11">
        <v>71991</v>
      </c>
      <c r="E65" s="12" t="s">
        <v>126</v>
      </c>
      <c r="F65" s="9">
        <f>'MEMÓRIA DE CÁLCULO'!E136</f>
        <v>10</v>
      </c>
      <c r="G65" s="9" t="s">
        <v>134</v>
      </c>
      <c r="H65" s="150">
        <v>1332.38</v>
      </c>
      <c r="I65" s="150">
        <v>17.04</v>
      </c>
      <c r="J65" s="246">
        <f t="shared" si="3"/>
        <v>13494.2</v>
      </c>
      <c r="K65" s="277"/>
      <c r="L65" s="133"/>
      <c r="M65" s="133"/>
      <c r="N65" s="133"/>
      <c r="O65" s="133"/>
      <c r="P65" s="133"/>
      <c r="Q65" s="133"/>
      <c r="R65" s="133"/>
      <c r="S65" s="133"/>
      <c r="T65" s="133"/>
    </row>
    <row r="66" spans="1:20" ht="15" customHeight="1" x14ac:dyDescent="0.2">
      <c r="A66" s="227"/>
      <c r="B66" s="195" t="s">
        <v>262</v>
      </c>
      <c r="C66" s="11" t="s">
        <v>8</v>
      </c>
      <c r="D66" s="11">
        <v>72320</v>
      </c>
      <c r="E66" s="12" t="s">
        <v>91</v>
      </c>
      <c r="F66" s="9">
        <f>'MEMÓRIA DE CÁLCULO'!E137</f>
        <v>10</v>
      </c>
      <c r="G66" s="9" t="s">
        <v>134</v>
      </c>
      <c r="H66" s="150">
        <v>33.96</v>
      </c>
      <c r="I66" s="150">
        <v>30.53</v>
      </c>
      <c r="J66" s="246">
        <f t="shared" si="3"/>
        <v>644.90000000000009</v>
      </c>
      <c r="K66" s="277"/>
      <c r="L66" s="133"/>
      <c r="M66" s="133"/>
      <c r="N66" s="133"/>
      <c r="O66" s="133"/>
      <c r="P66" s="133"/>
      <c r="Q66" s="133"/>
      <c r="R66" s="133"/>
      <c r="S66" s="133"/>
      <c r="T66" s="133"/>
    </row>
    <row r="67" spans="1:20" ht="30" customHeight="1" x14ac:dyDescent="0.2">
      <c r="A67" s="227"/>
      <c r="B67" s="195" t="s">
        <v>263</v>
      </c>
      <c r="C67" s="22" t="s">
        <v>21</v>
      </c>
      <c r="D67" s="22">
        <v>101657</v>
      </c>
      <c r="E67" s="23" t="s">
        <v>92</v>
      </c>
      <c r="F67" s="9">
        <f>'MEMÓRIA DE CÁLCULO'!E138</f>
        <v>40</v>
      </c>
      <c r="G67" s="9" t="s">
        <v>134</v>
      </c>
      <c r="H67" s="320">
        <v>579.57000000000005</v>
      </c>
      <c r="I67" s="321"/>
      <c r="J67" s="246">
        <f t="shared" si="3"/>
        <v>23182.800000000003</v>
      </c>
      <c r="K67" s="277"/>
      <c r="L67" s="133"/>
      <c r="M67" s="133"/>
      <c r="N67" s="133"/>
      <c r="O67" s="133"/>
      <c r="P67" s="133"/>
      <c r="Q67" s="133"/>
      <c r="R67" s="133"/>
      <c r="S67" s="133"/>
      <c r="T67" s="133"/>
    </row>
    <row r="68" spans="1:20" ht="15" customHeight="1" x14ac:dyDescent="0.2">
      <c r="A68" s="227"/>
      <c r="B68" s="195" t="s">
        <v>264</v>
      </c>
      <c r="C68" s="22" t="s">
        <v>8</v>
      </c>
      <c r="D68" s="22">
        <v>71694</v>
      </c>
      <c r="E68" s="23" t="s">
        <v>330</v>
      </c>
      <c r="F68" s="9">
        <f>'MEMÓRIA DE CÁLCULO'!E139</f>
        <v>7</v>
      </c>
      <c r="G68" s="9" t="s">
        <v>134</v>
      </c>
      <c r="H68" s="294">
        <v>388.1</v>
      </c>
      <c r="I68" s="295">
        <v>9.85</v>
      </c>
      <c r="J68" s="246">
        <f t="shared" si="3"/>
        <v>2785.6500000000005</v>
      </c>
      <c r="K68" s="277"/>
      <c r="L68" s="133"/>
      <c r="M68" s="133"/>
      <c r="N68" s="133"/>
      <c r="O68" s="133"/>
      <c r="P68" s="133"/>
      <c r="Q68" s="133"/>
      <c r="R68" s="133"/>
      <c r="S68" s="133"/>
      <c r="T68" s="133"/>
    </row>
    <row r="69" spans="1:20" ht="15" customHeight="1" x14ac:dyDescent="0.2">
      <c r="A69" s="227"/>
      <c r="B69" s="199" t="s">
        <v>329</v>
      </c>
      <c r="C69" s="200" t="s">
        <v>8</v>
      </c>
      <c r="D69" s="200">
        <v>72369</v>
      </c>
      <c r="E69" s="218" t="s">
        <v>93</v>
      </c>
      <c r="F69" s="201">
        <f>'MEMÓRIA DE CÁLCULO'!E140</f>
        <v>10</v>
      </c>
      <c r="G69" s="201" t="s">
        <v>134</v>
      </c>
      <c r="H69" s="257">
        <v>198.5</v>
      </c>
      <c r="I69" s="257">
        <v>7.63</v>
      </c>
      <c r="J69" s="258">
        <f t="shared" si="3"/>
        <v>2061.3000000000002</v>
      </c>
      <c r="K69" s="277"/>
      <c r="L69" s="133"/>
      <c r="M69" s="133"/>
      <c r="N69" s="133"/>
      <c r="O69" s="133"/>
      <c r="P69" s="133"/>
      <c r="Q69" s="133"/>
      <c r="R69" s="133"/>
      <c r="S69" s="133"/>
      <c r="T69" s="133"/>
    </row>
    <row r="70" spans="1:20" ht="15" customHeight="1" x14ac:dyDescent="0.2">
      <c r="A70" s="227"/>
      <c r="B70" s="322" t="s">
        <v>38</v>
      </c>
      <c r="C70" s="323"/>
      <c r="D70" s="323"/>
      <c r="E70" s="323"/>
      <c r="F70" s="323"/>
      <c r="G70" s="323"/>
      <c r="H70" s="323"/>
      <c r="I70" s="324"/>
      <c r="J70" s="226">
        <f>SUM(J54:J69)</f>
        <v>83161.923800000004</v>
      </c>
      <c r="K70" s="278">
        <f>J70*1.2493</f>
        <v>103894.19140334001</v>
      </c>
      <c r="L70" s="133"/>
      <c r="M70" s="133"/>
      <c r="N70" s="133"/>
      <c r="O70" s="133"/>
      <c r="P70" s="133"/>
      <c r="Q70" s="133"/>
      <c r="R70" s="133"/>
      <c r="S70" s="133"/>
      <c r="T70" s="133"/>
    </row>
    <row r="71" spans="1:20" ht="15" customHeight="1" x14ac:dyDescent="0.2">
      <c r="A71" s="227"/>
      <c r="B71" s="212" t="s">
        <v>1</v>
      </c>
      <c r="C71" s="253" t="s">
        <v>30</v>
      </c>
      <c r="D71" s="212" t="s">
        <v>31</v>
      </c>
      <c r="E71" s="254" t="s">
        <v>2</v>
      </c>
      <c r="F71" s="208" t="s">
        <v>3</v>
      </c>
      <c r="G71" s="209" t="s">
        <v>4</v>
      </c>
      <c r="H71" s="210" t="s">
        <v>5</v>
      </c>
      <c r="I71" s="210" t="s">
        <v>6</v>
      </c>
      <c r="J71" s="210" t="s">
        <v>7</v>
      </c>
      <c r="K71" s="272"/>
    </row>
    <row r="72" spans="1:20" ht="15" customHeight="1" x14ac:dyDescent="0.2">
      <c r="A72" s="227"/>
      <c r="B72" s="284">
        <v>6</v>
      </c>
      <c r="C72" s="243" t="s">
        <v>14</v>
      </c>
      <c r="D72" s="243">
        <v>80000</v>
      </c>
      <c r="E72" s="316" t="s">
        <v>16</v>
      </c>
      <c r="F72" s="316"/>
      <c r="G72" s="316"/>
      <c r="H72" s="316"/>
      <c r="I72" s="316"/>
      <c r="J72" s="317"/>
      <c r="K72" s="272"/>
    </row>
    <row r="73" spans="1:20" ht="15" customHeight="1" x14ac:dyDescent="0.2">
      <c r="A73" s="227"/>
      <c r="B73" s="195" t="s">
        <v>159</v>
      </c>
      <c r="C73" s="18" t="s">
        <v>8</v>
      </c>
      <c r="D73" s="431">
        <v>80811</v>
      </c>
      <c r="E73" s="16" t="s">
        <v>121</v>
      </c>
      <c r="F73" s="17">
        <f>'MEMÓRIA DE CÁLCULO'!E143</f>
        <v>4</v>
      </c>
      <c r="G73" s="17" t="s">
        <v>134</v>
      </c>
      <c r="H73" s="24">
        <v>45.61</v>
      </c>
      <c r="I73" s="29">
        <v>6.1</v>
      </c>
      <c r="J73" s="246">
        <f t="shared" ref="J73:J80" si="4">(I73+H73)*F73</f>
        <v>206.84</v>
      </c>
      <c r="K73" s="277"/>
      <c r="L73" s="133"/>
      <c r="M73" s="133"/>
      <c r="N73" s="133"/>
      <c r="O73" s="133"/>
      <c r="P73" s="133"/>
      <c r="Q73" s="133"/>
      <c r="R73" s="133"/>
      <c r="S73" s="133"/>
      <c r="T73" s="133"/>
    </row>
    <row r="74" spans="1:20" ht="15" customHeight="1" x14ac:dyDescent="0.2">
      <c r="A74" s="227"/>
      <c r="B74" s="195" t="s">
        <v>160</v>
      </c>
      <c r="C74" s="18" t="s">
        <v>8</v>
      </c>
      <c r="D74" s="431">
        <v>81003</v>
      </c>
      <c r="E74" s="16" t="s">
        <v>156</v>
      </c>
      <c r="F74" s="17">
        <f>'MEMÓRIA DE CÁLCULO'!E144</f>
        <v>128</v>
      </c>
      <c r="G74" s="17" t="s">
        <v>86</v>
      </c>
      <c r="H74" s="29">
        <v>4.0199999999999996</v>
      </c>
      <c r="I74" s="29">
        <v>3.67</v>
      </c>
      <c r="J74" s="246">
        <f t="shared" si="4"/>
        <v>984.31999999999994</v>
      </c>
      <c r="K74" s="277"/>
      <c r="L74" s="133"/>
      <c r="M74" s="133"/>
      <c r="N74" s="133"/>
      <c r="O74" s="133"/>
      <c r="P74" s="133"/>
      <c r="Q74" s="133"/>
      <c r="R74" s="133"/>
      <c r="S74" s="133"/>
      <c r="T74" s="133"/>
    </row>
    <row r="75" spans="1:20" ht="15" customHeight="1" x14ac:dyDescent="0.2">
      <c r="A75" s="227"/>
      <c r="B75" s="195" t="s">
        <v>170</v>
      </c>
      <c r="C75" s="18" t="s">
        <v>8</v>
      </c>
      <c r="D75" s="431">
        <v>81321</v>
      </c>
      <c r="E75" s="16" t="s">
        <v>155</v>
      </c>
      <c r="F75" s="17">
        <f>'MEMÓRIA DE CÁLCULO'!E145</f>
        <v>6</v>
      </c>
      <c r="G75" s="17" t="s">
        <v>134</v>
      </c>
      <c r="H75" s="29">
        <v>0.88</v>
      </c>
      <c r="I75" s="29">
        <v>5.49</v>
      </c>
      <c r="J75" s="246">
        <f t="shared" si="4"/>
        <v>38.22</v>
      </c>
      <c r="K75" s="277"/>
      <c r="L75" s="133"/>
      <c r="M75" s="133"/>
      <c r="N75" s="133"/>
      <c r="O75" s="133"/>
      <c r="P75" s="133"/>
      <c r="Q75" s="133"/>
      <c r="R75" s="133"/>
      <c r="S75" s="133"/>
      <c r="T75" s="133"/>
    </row>
    <row r="76" spans="1:20" ht="15" customHeight="1" x14ac:dyDescent="0.2">
      <c r="A76" s="227"/>
      <c r="B76" s="195" t="s">
        <v>212</v>
      </c>
      <c r="C76" s="18" t="s">
        <v>8</v>
      </c>
      <c r="D76" s="431">
        <v>81369</v>
      </c>
      <c r="E76" s="16" t="s">
        <v>138</v>
      </c>
      <c r="F76" s="17">
        <f>'MEMÓRIA DE CÁLCULO'!E146</f>
        <v>4</v>
      </c>
      <c r="G76" s="17" t="s">
        <v>134</v>
      </c>
      <c r="H76" s="29">
        <v>7.32</v>
      </c>
      <c r="I76" s="29">
        <v>3.48</v>
      </c>
      <c r="J76" s="246">
        <f t="shared" si="4"/>
        <v>43.2</v>
      </c>
      <c r="K76" s="277"/>
      <c r="L76" s="133"/>
      <c r="M76" s="133"/>
      <c r="N76" s="133"/>
      <c r="O76" s="133"/>
      <c r="P76" s="133"/>
      <c r="Q76" s="133"/>
      <c r="R76" s="133"/>
      <c r="S76" s="133"/>
      <c r="T76" s="133"/>
    </row>
    <row r="77" spans="1:20" ht="15" customHeight="1" x14ac:dyDescent="0.2">
      <c r="A77" s="227"/>
      <c r="B77" s="195" t="s">
        <v>216</v>
      </c>
      <c r="C77" s="18" t="s">
        <v>8</v>
      </c>
      <c r="D77" s="431">
        <v>81402</v>
      </c>
      <c r="E77" s="16" t="s">
        <v>122</v>
      </c>
      <c r="F77" s="17">
        <f>'MEMÓRIA DE CÁLCULO'!E147</f>
        <v>3</v>
      </c>
      <c r="G77" s="17" t="s">
        <v>134</v>
      </c>
      <c r="H77" s="24">
        <v>1.34</v>
      </c>
      <c r="I77" s="29">
        <v>5.8</v>
      </c>
      <c r="J77" s="246">
        <f t="shared" si="4"/>
        <v>21.419999999999998</v>
      </c>
      <c r="K77" s="277"/>
      <c r="L77" s="133"/>
      <c r="M77" s="133"/>
      <c r="N77" s="133"/>
      <c r="O77" s="133"/>
      <c r="P77" s="133"/>
      <c r="Q77" s="133"/>
      <c r="R77" s="133"/>
      <c r="S77" s="133"/>
      <c r="T77" s="133"/>
    </row>
    <row r="78" spans="1:20" ht="15" customHeight="1" x14ac:dyDescent="0.2">
      <c r="A78" s="227"/>
      <c r="B78" s="195" t="s">
        <v>255</v>
      </c>
      <c r="C78" s="18" t="s">
        <v>8</v>
      </c>
      <c r="D78" s="18">
        <v>81462</v>
      </c>
      <c r="E78" s="16" t="s">
        <v>153</v>
      </c>
      <c r="F78" s="17">
        <f>'MEMÓRIA DE CÁLCULO'!E148</f>
        <v>10</v>
      </c>
      <c r="G78" s="17" t="s">
        <v>134</v>
      </c>
      <c r="H78" s="24">
        <v>10.19</v>
      </c>
      <c r="I78" s="24">
        <v>2.75</v>
      </c>
      <c r="J78" s="246">
        <f t="shared" si="4"/>
        <v>129.4</v>
      </c>
      <c r="K78" s="277"/>
      <c r="L78" s="133"/>
      <c r="M78" s="133"/>
      <c r="N78" s="133"/>
      <c r="O78" s="133"/>
      <c r="P78" s="133"/>
      <c r="Q78" s="133"/>
      <c r="R78" s="133"/>
      <c r="S78" s="133"/>
      <c r="T78" s="133"/>
    </row>
    <row r="79" spans="1:20" ht="15" customHeight="1" x14ac:dyDescent="0.2">
      <c r="A79" s="227"/>
      <c r="B79" s="195" t="s">
        <v>256</v>
      </c>
      <c r="C79" s="18" t="s">
        <v>8</v>
      </c>
      <c r="D79" s="18">
        <v>82304</v>
      </c>
      <c r="E79" s="16" t="s">
        <v>250</v>
      </c>
      <c r="F79" s="17">
        <f>'MEMÓRIA DE CÁLCULO'!E149</f>
        <v>2</v>
      </c>
      <c r="G79" s="17" t="s">
        <v>86</v>
      </c>
      <c r="H79" s="24">
        <v>15.56</v>
      </c>
      <c r="I79" s="24">
        <v>15.87</v>
      </c>
      <c r="J79" s="246">
        <f t="shared" si="4"/>
        <v>62.86</v>
      </c>
      <c r="K79" s="277"/>
      <c r="L79" s="133"/>
      <c r="M79" s="133"/>
      <c r="N79" s="133"/>
      <c r="O79" s="133"/>
      <c r="P79" s="133"/>
      <c r="Q79" s="133"/>
      <c r="R79" s="133"/>
      <c r="S79" s="133"/>
      <c r="T79" s="133"/>
    </row>
    <row r="80" spans="1:20" ht="15" customHeight="1" x14ac:dyDescent="0.2">
      <c r="A80" s="227"/>
      <c r="B80" s="199" t="s">
        <v>257</v>
      </c>
      <c r="C80" s="263" t="s">
        <v>8</v>
      </c>
      <c r="D80" s="263">
        <v>81811</v>
      </c>
      <c r="E80" s="264" t="s">
        <v>154</v>
      </c>
      <c r="F80" s="432">
        <f>'MEMÓRIA DE CÁLCULO'!E150</f>
        <v>1</v>
      </c>
      <c r="G80" s="432" t="s">
        <v>134</v>
      </c>
      <c r="H80" s="262">
        <v>134.16</v>
      </c>
      <c r="I80" s="262">
        <v>15.27</v>
      </c>
      <c r="J80" s="258">
        <f t="shared" si="4"/>
        <v>149.43</v>
      </c>
      <c r="K80" s="277"/>
      <c r="L80" s="133"/>
      <c r="M80" s="133"/>
      <c r="N80" s="133"/>
      <c r="O80" s="133"/>
      <c r="P80" s="133"/>
      <c r="Q80" s="133"/>
      <c r="R80" s="133"/>
      <c r="S80" s="133"/>
      <c r="T80" s="133"/>
    </row>
    <row r="81" spans="1:20" ht="15" customHeight="1" x14ac:dyDescent="0.2">
      <c r="A81" s="227"/>
      <c r="B81" s="322" t="s">
        <v>38</v>
      </c>
      <c r="C81" s="323"/>
      <c r="D81" s="323"/>
      <c r="E81" s="323"/>
      <c r="F81" s="323"/>
      <c r="G81" s="323"/>
      <c r="H81" s="323"/>
      <c r="I81" s="324"/>
      <c r="J81" s="226">
        <f>SUM(J73:J80)</f>
        <v>1635.69</v>
      </c>
      <c r="K81" s="278">
        <f>1.2493*J81</f>
        <v>2043.4675170000003</v>
      </c>
      <c r="L81" s="133"/>
      <c r="M81" s="133"/>
      <c r="N81" s="133"/>
      <c r="O81" s="133"/>
      <c r="P81" s="133"/>
      <c r="Q81" s="133"/>
      <c r="R81" s="133"/>
      <c r="S81" s="133"/>
      <c r="T81" s="133"/>
    </row>
    <row r="82" spans="1:20" ht="15" customHeight="1" x14ac:dyDescent="0.2">
      <c r="A82" s="227"/>
      <c r="B82" s="212" t="s">
        <v>1</v>
      </c>
      <c r="C82" s="253" t="s">
        <v>30</v>
      </c>
      <c r="D82" s="212" t="s">
        <v>31</v>
      </c>
      <c r="E82" s="254" t="s">
        <v>2</v>
      </c>
      <c r="F82" s="208" t="s">
        <v>3</v>
      </c>
      <c r="G82" s="209" t="s">
        <v>4</v>
      </c>
      <c r="H82" s="210" t="s">
        <v>5</v>
      </c>
      <c r="I82" s="210" t="s">
        <v>6</v>
      </c>
      <c r="J82" s="210" t="s">
        <v>7</v>
      </c>
      <c r="K82" s="272"/>
    </row>
    <row r="83" spans="1:20" ht="15" customHeight="1" x14ac:dyDescent="0.2">
      <c r="A83" s="227"/>
      <c r="B83" s="284">
        <v>7</v>
      </c>
      <c r="C83" s="243" t="s">
        <v>8</v>
      </c>
      <c r="D83" s="243">
        <v>150000</v>
      </c>
      <c r="E83" s="316" t="s">
        <v>273</v>
      </c>
      <c r="F83" s="316"/>
      <c r="G83" s="316"/>
      <c r="H83" s="316"/>
      <c r="I83" s="316"/>
      <c r="J83" s="317"/>
      <c r="K83" s="272"/>
    </row>
    <row r="84" spans="1:20" ht="30" customHeight="1" x14ac:dyDescent="0.2">
      <c r="A84" s="227"/>
      <c r="B84" s="199" t="s">
        <v>326</v>
      </c>
      <c r="C84" s="263" t="s">
        <v>8</v>
      </c>
      <c r="D84" s="263">
        <v>150204</v>
      </c>
      <c r="E84" s="264" t="s">
        <v>376</v>
      </c>
      <c r="F84" s="432">
        <f>'MEMÓRIA DE CÁLCULO'!E156</f>
        <v>132</v>
      </c>
      <c r="G84" s="432" t="s">
        <v>183</v>
      </c>
      <c r="H84" s="262">
        <v>19.13</v>
      </c>
      <c r="I84" s="262">
        <v>0</v>
      </c>
      <c r="J84" s="258">
        <f t="shared" ref="J84" si="5">(I84+H84)*F84</f>
        <v>2525.16</v>
      </c>
      <c r="K84" s="277"/>
      <c r="L84" s="133"/>
      <c r="M84" s="133"/>
      <c r="N84" s="133"/>
      <c r="O84" s="133"/>
      <c r="P84" s="133"/>
      <c r="Q84" s="133"/>
      <c r="R84" s="133"/>
      <c r="S84" s="133"/>
      <c r="T84" s="133"/>
    </row>
    <row r="85" spans="1:20" ht="15" customHeight="1" x14ac:dyDescent="0.2">
      <c r="A85" s="227"/>
      <c r="B85" s="322" t="s">
        <v>38</v>
      </c>
      <c r="C85" s="323"/>
      <c r="D85" s="323"/>
      <c r="E85" s="323"/>
      <c r="F85" s="323"/>
      <c r="G85" s="323"/>
      <c r="H85" s="323"/>
      <c r="I85" s="324"/>
      <c r="J85" s="226">
        <f>SUM(J84)</f>
        <v>2525.16</v>
      </c>
      <c r="K85" s="278">
        <f>1.2493*J85</f>
        <v>3154.6823880000002</v>
      </c>
      <c r="L85" s="133"/>
      <c r="M85" s="133"/>
      <c r="N85" s="133"/>
      <c r="O85" s="133"/>
      <c r="P85" s="133"/>
      <c r="Q85" s="133"/>
      <c r="R85" s="133"/>
      <c r="S85" s="133"/>
      <c r="T85" s="133"/>
    </row>
    <row r="86" spans="1:20" ht="15" customHeight="1" x14ac:dyDescent="0.2">
      <c r="A86" s="227"/>
      <c r="B86" s="212" t="s">
        <v>1</v>
      </c>
      <c r="C86" s="253" t="s">
        <v>30</v>
      </c>
      <c r="D86" s="212" t="s">
        <v>31</v>
      </c>
      <c r="E86" s="254" t="s">
        <v>2</v>
      </c>
      <c r="F86" s="208" t="s">
        <v>3</v>
      </c>
      <c r="G86" s="209" t="s">
        <v>4</v>
      </c>
      <c r="H86" s="210" t="s">
        <v>5</v>
      </c>
      <c r="I86" s="210" t="s">
        <v>6</v>
      </c>
      <c r="J86" s="210" t="s">
        <v>7</v>
      </c>
      <c r="K86" s="272"/>
    </row>
    <row r="87" spans="1:20" ht="15" customHeight="1" x14ac:dyDescent="0.2">
      <c r="A87" s="227"/>
      <c r="B87" s="284">
        <v>8</v>
      </c>
      <c r="C87" s="243" t="s">
        <v>8</v>
      </c>
      <c r="D87" s="243">
        <v>180000</v>
      </c>
      <c r="E87" s="316" t="s">
        <v>274</v>
      </c>
      <c r="F87" s="316"/>
      <c r="G87" s="316"/>
      <c r="H87" s="316"/>
      <c r="I87" s="316"/>
      <c r="J87" s="317"/>
      <c r="K87" s="272"/>
    </row>
    <row r="88" spans="1:20" ht="15" customHeight="1" x14ac:dyDescent="0.2">
      <c r="A88" s="227"/>
      <c r="B88" s="199" t="s">
        <v>125</v>
      </c>
      <c r="C88" s="263" t="s">
        <v>8</v>
      </c>
      <c r="D88" s="263">
        <v>180312</v>
      </c>
      <c r="E88" s="264" t="s">
        <v>275</v>
      </c>
      <c r="F88" s="432">
        <f>'MEMÓRIA DE CÁLCULO'!E162</f>
        <v>69.740000000000009</v>
      </c>
      <c r="G88" s="432" t="s">
        <v>25</v>
      </c>
      <c r="H88" s="262">
        <v>254.07</v>
      </c>
      <c r="I88" s="262">
        <v>22.44</v>
      </c>
      <c r="J88" s="258">
        <f t="shared" ref="J88" si="6">(I88+H88)*F88</f>
        <v>19283.807400000002</v>
      </c>
      <c r="K88" s="277"/>
      <c r="L88" s="133"/>
      <c r="M88" s="133"/>
      <c r="N88" s="133"/>
      <c r="O88" s="133"/>
      <c r="P88" s="133"/>
      <c r="Q88" s="133"/>
      <c r="R88" s="133"/>
      <c r="S88" s="133"/>
      <c r="T88" s="133"/>
    </row>
    <row r="89" spans="1:20" ht="15" customHeight="1" x14ac:dyDescent="0.2">
      <c r="A89" s="227"/>
      <c r="B89" s="322" t="s">
        <v>38</v>
      </c>
      <c r="C89" s="323"/>
      <c r="D89" s="323"/>
      <c r="E89" s="323"/>
      <c r="F89" s="323"/>
      <c r="G89" s="323"/>
      <c r="H89" s="323"/>
      <c r="I89" s="324"/>
      <c r="J89" s="226">
        <f>SUM(J88)</f>
        <v>19283.807400000002</v>
      </c>
      <c r="K89" s="278">
        <f>1.2493*J89</f>
        <v>24091.260584820004</v>
      </c>
      <c r="L89" s="133"/>
      <c r="M89" s="133"/>
      <c r="N89" s="133"/>
      <c r="O89" s="133"/>
      <c r="P89" s="133"/>
      <c r="Q89" s="133"/>
      <c r="R89" s="133"/>
      <c r="S89" s="133"/>
      <c r="T89" s="133"/>
    </row>
    <row r="90" spans="1:20" ht="15" customHeight="1" x14ac:dyDescent="0.2">
      <c r="A90" s="227"/>
      <c r="B90" s="212" t="s">
        <v>1</v>
      </c>
      <c r="C90" s="253" t="s">
        <v>30</v>
      </c>
      <c r="D90" s="212" t="s">
        <v>31</v>
      </c>
      <c r="E90" s="254" t="s">
        <v>2</v>
      </c>
      <c r="F90" s="208" t="s">
        <v>3</v>
      </c>
      <c r="G90" s="209" t="s">
        <v>4</v>
      </c>
      <c r="H90" s="210" t="s">
        <v>5</v>
      </c>
      <c r="I90" s="210" t="s">
        <v>6</v>
      </c>
      <c r="J90" s="210" t="s">
        <v>7</v>
      </c>
      <c r="K90" s="272"/>
    </row>
    <row r="91" spans="1:20" ht="15" customHeight="1" x14ac:dyDescent="0.2">
      <c r="A91" s="227"/>
      <c r="B91" s="284">
        <v>9</v>
      </c>
      <c r="C91" s="243" t="s">
        <v>8</v>
      </c>
      <c r="D91" s="243">
        <v>220000</v>
      </c>
      <c r="E91" s="316" t="s">
        <v>17</v>
      </c>
      <c r="F91" s="316"/>
      <c r="G91" s="316"/>
      <c r="H91" s="316"/>
      <c r="I91" s="316"/>
      <c r="J91" s="317"/>
      <c r="K91" s="272"/>
    </row>
    <row r="92" spans="1:20" ht="15" customHeight="1" x14ac:dyDescent="0.2">
      <c r="A92" s="227"/>
      <c r="B92" s="195" t="s">
        <v>150</v>
      </c>
      <c r="C92" s="11" t="s">
        <v>8</v>
      </c>
      <c r="D92" s="11">
        <v>220104</v>
      </c>
      <c r="E92" s="16" t="s">
        <v>372</v>
      </c>
      <c r="F92" s="9">
        <f>'MEMÓRIA DE CÁLCULO'!E168</f>
        <v>558.67999999999995</v>
      </c>
      <c r="G92" s="9" t="s">
        <v>25</v>
      </c>
      <c r="H92" s="150">
        <v>30.57</v>
      </c>
      <c r="I92" s="150">
        <v>15.36</v>
      </c>
      <c r="J92" s="246">
        <f t="shared" ref="J92:J95" si="7">(I92+H92)*F92</f>
        <v>25660.172399999996</v>
      </c>
      <c r="K92" s="277"/>
      <c r="L92" s="133"/>
      <c r="M92" s="133"/>
      <c r="N92" s="133"/>
      <c r="O92" s="133"/>
      <c r="P92" s="133"/>
      <c r="Q92" s="133"/>
      <c r="R92" s="133"/>
      <c r="S92" s="133"/>
      <c r="T92" s="133"/>
    </row>
    <row r="93" spans="1:20" ht="15" customHeight="1" x14ac:dyDescent="0.2">
      <c r="A93" s="227"/>
      <c r="B93" s="195" t="s">
        <v>278</v>
      </c>
      <c r="C93" s="11" t="s">
        <v>8</v>
      </c>
      <c r="D93" s="11">
        <v>220050</v>
      </c>
      <c r="E93" s="16" t="s">
        <v>158</v>
      </c>
      <c r="F93" s="9">
        <f>'MEMÓRIA DE CÁLCULO'!E171</f>
        <v>231</v>
      </c>
      <c r="G93" s="9" t="s">
        <v>25</v>
      </c>
      <c r="H93" s="150">
        <v>19.79</v>
      </c>
      <c r="I93" s="150">
        <v>8.25</v>
      </c>
      <c r="J93" s="246">
        <f t="shared" si="7"/>
        <v>6477.24</v>
      </c>
      <c r="K93" s="277"/>
      <c r="L93" s="133"/>
      <c r="M93" s="133"/>
      <c r="N93" s="133"/>
      <c r="O93" s="133"/>
      <c r="P93" s="133"/>
      <c r="Q93" s="133"/>
      <c r="R93" s="133"/>
      <c r="S93" s="133"/>
      <c r="T93" s="133"/>
    </row>
    <row r="94" spans="1:20" ht="15" customHeight="1" x14ac:dyDescent="0.2">
      <c r="A94" s="227"/>
      <c r="B94" s="195" t="s">
        <v>279</v>
      </c>
      <c r="C94" s="11" t="s">
        <v>8</v>
      </c>
      <c r="D94" s="11">
        <v>271802</v>
      </c>
      <c r="E94" s="16" t="s">
        <v>217</v>
      </c>
      <c r="F94" s="9">
        <f>'MEMÓRIA DE CÁLCULO'!E174</f>
        <v>231</v>
      </c>
      <c r="G94" s="9" t="s">
        <v>25</v>
      </c>
      <c r="H94" s="150">
        <v>89.2</v>
      </c>
      <c r="I94" s="150">
        <v>20.14</v>
      </c>
      <c r="J94" s="247">
        <f t="shared" si="7"/>
        <v>25257.54</v>
      </c>
      <c r="K94" s="277"/>
      <c r="L94" s="133"/>
      <c r="M94" s="133"/>
      <c r="N94" s="133"/>
      <c r="O94" s="133"/>
      <c r="P94" s="133"/>
      <c r="Q94" s="133"/>
      <c r="R94" s="133"/>
      <c r="S94" s="133"/>
      <c r="T94" s="133"/>
    </row>
    <row r="95" spans="1:20" s="5" customFormat="1" ht="30" customHeight="1" x14ac:dyDescent="0.2">
      <c r="A95" s="228"/>
      <c r="B95" s="199" t="s">
        <v>280</v>
      </c>
      <c r="C95" s="263" t="s">
        <v>8</v>
      </c>
      <c r="D95" s="263">
        <v>221126</v>
      </c>
      <c r="E95" s="264" t="s">
        <v>112</v>
      </c>
      <c r="F95" s="201">
        <f>'MEMÓRIA DE CÁLCULO'!E178</f>
        <v>1.75</v>
      </c>
      <c r="G95" s="263" t="s">
        <v>25</v>
      </c>
      <c r="H95" s="262">
        <v>116.61</v>
      </c>
      <c r="I95" s="262">
        <v>20.14</v>
      </c>
      <c r="J95" s="265">
        <f t="shared" si="7"/>
        <v>239.3125</v>
      </c>
      <c r="K95" s="279"/>
      <c r="L95" s="135"/>
      <c r="M95" s="135"/>
      <c r="N95" s="135"/>
      <c r="O95" s="135"/>
      <c r="P95" s="135"/>
      <c r="Q95" s="135"/>
      <c r="R95" s="135"/>
      <c r="S95" s="135"/>
      <c r="T95" s="135"/>
    </row>
    <row r="96" spans="1:20" ht="15" customHeight="1" x14ac:dyDescent="0.2">
      <c r="A96" s="227"/>
      <c r="B96" s="322" t="s">
        <v>38</v>
      </c>
      <c r="C96" s="323"/>
      <c r="D96" s="323"/>
      <c r="E96" s="323"/>
      <c r="F96" s="323"/>
      <c r="G96" s="323"/>
      <c r="H96" s="323"/>
      <c r="I96" s="324"/>
      <c r="J96" s="226">
        <f>SUM(J92:J95)</f>
        <v>57634.264899999995</v>
      </c>
      <c r="K96" s="278">
        <f>J96*1.2493</f>
        <v>72002.487139570003</v>
      </c>
      <c r="L96" s="133"/>
      <c r="M96" s="133"/>
      <c r="N96" s="133"/>
      <c r="O96" s="133"/>
      <c r="P96" s="133"/>
      <c r="Q96" s="133"/>
      <c r="R96" s="133"/>
      <c r="S96" s="133"/>
      <c r="T96" s="133"/>
    </row>
    <row r="97" spans="1:20" ht="15" customHeight="1" x14ac:dyDescent="0.2">
      <c r="A97" s="227"/>
      <c r="B97" s="212" t="s">
        <v>1</v>
      </c>
      <c r="C97" s="253" t="s">
        <v>30</v>
      </c>
      <c r="D97" s="212" t="s">
        <v>31</v>
      </c>
      <c r="E97" s="254" t="s">
        <v>2</v>
      </c>
      <c r="F97" s="208" t="s">
        <v>3</v>
      </c>
      <c r="G97" s="209" t="s">
        <v>4</v>
      </c>
      <c r="H97" s="210" t="s">
        <v>5</v>
      </c>
      <c r="I97" s="210" t="s">
        <v>6</v>
      </c>
      <c r="J97" s="210" t="s">
        <v>7</v>
      </c>
      <c r="K97" s="272"/>
    </row>
    <row r="98" spans="1:20" ht="15" customHeight="1" x14ac:dyDescent="0.2">
      <c r="A98" s="227"/>
      <c r="B98" s="284">
        <v>10</v>
      </c>
      <c r="C98" s="243" t="s">
        <v>8</v>
      </c>
      <c r="D98" s="243">
        <v>250000</v>
      </c>
      <c r="E98" s="316" t="s">
        <v>18</v>
      </c>
      <c r="F98" s="316"/>
      <c r="G98" s="316"/>
      <c r="H98" s="316"/>
      <c r="I98" s="316"/>
      <c r="J98" s="317"/>
      <c r="K98" s="272"/>
    </row>
    <row r="99" spans="1:20" ht="15" customHeight="1" x14ac:dyDescent="0.2">
      <c r="A99" s="227"/>
      <c r="B99" s="195" t="s">
        <v>258</v>
      </c>
      <c r="C99" s="11" t="s">
        <v>8</v>
      </c>
      <c r="D99" s="11">
        <v>250102</v>
      </c>
      <c r="E99" s="16" t="s">
        <v>99</v>
      </c>
      <c r="F99" s="9">
        <f>'MEMÓRIA DE CÁLCULO'!E184</f>
        <v>420</v>
      </c>
      <c r="G99" s="9" t="s">
        <v>98</v>
      </c>
      <c r="H99" s="150">
        <v>0</v>
      </c>
      <c r="I99" s="150">
        <v>37.58</v>
      </c>
      <c r="J99" s="246">
        <f t="shared" ref="J99" si="8">(I99+H99)*F99</f>
        <v>15783.599999999999</v>
      </c>
      <c r="K99" s="277"/>
      <c r="L99" s="133"/>
      <c r="M99" s="133"/>
      <c r="N99" s="133"/>
      <c r="O99" s="133"/>
      <c r="P99" s="133"/>
      <c r="Q99" s="133"/>
      <c r="R99" s="133"/>
      <c r="S99" s="133"/>
      <c r="T99" s="133"/>
    </row>
    <row r="100" spans="1:20" s="5" customFormat="1" ht="15" customHeight="1" x14ac:dyDescent="0.2">
      <c r="A100" s="228"/>
      <c r="B100" s="195" t="s">
        <v>259</v>
      </c>
      <c r="C100" s="11" t="s">
        <v>8</v>
      </c>
      <c r="D100" s="18">
        <v>250101</v>
      </c>
      <c r="E100" s="16" t="s">
        <v>299</v>
      </c>
      <c r="F100" s="9">
        <f>'MEMÓRIA DE CÁLCULO'!E188</f>
        <v>120</v>
      </c>
      <c r="G100" s="18" t="s">
        <v>98</v>
      </c>
      <c r="H100" s="24">
        <v>0</v>
      </c>
      <c r="I100" s="24">
        <v>74.61</v>
      </c>
      <c r="J100" s="246">
        <f>(I100+H100)*F100</f>
        <v>8953.2000000000007</v>
      </c>
      <c r="K100" s="279"/>
      <c r="L100" s="135"/>
      <c r="M100" s="135"/>
      <c r="N100" s="135"/>
      <c r="O100" s="135"/>
      <c r="P100" s="135"/>
      <c r="Q100" s="135"/>
      <c r="R100" s="135"/>
      <c r="S100" s="135"/>
      <c r="T100" s="135"/>
    </row>
    <row r="101" spans="1:20" s="5" customFormat="1" ht="15" customHeight="1" x14ac:dyDescent="0.2">
      <c r="A101" s="228"/>
      <c r="B101" s="199" t="s">
        <v>260</v>
      </c>
      <c r="C101" s="263" t="s">
        <v>8</v>
      </c>
      <c r="D101" s="263">
        <v>250110</v>
      </c>
      <c r="E101" s="264" t="s">
        <v>300</v>
      </c>
      <c r="F101" s="201">
        <f>'MEMÓRIA DE CÁLCULO'!E192</f>
        <v>400</v>
      </c>
      <c r="G101" s="263" t="s">
        <v>98</v>
      </c>
      <c r="H101" s="262">
        <v>0</v>
      </c>
      <c r="I101" s="262">
        <v>13.9</v>
      </c>
      <c r="J101" s="258">
        <f>(I101+H101)*F101</f>
        <v>5560</v>
      </c>
      <c r="K101" s="279"/>
      <c r="L101" s="135"/>
      <c r="M101" s="135"/>
      <c r="N101" s="135"/>
      <c r="O101" s="135"/>
      <c r="P101" s="135"/>
      <c r="Q101" s="135"/>
      <c r="R101" s="135"/>
      <c r="S101" s="135"/>
      <c r="T101" s="135"/>
    </row>
    <row r="102" spans="1:20" ht="15" customHeight="1" x14ac:dyDescent="0.2">
      <c r="A102" s="227"/>
      <c r="B102" s="322" t="s">
        <v>38</v>
      </c>
      <c r="C102" s="323"/>
      <c r="D102" s="323"/>
      <c r="E102" s="323"/>
      <c r="F102" s="323"/>
      <c r="G102" s="323"/>
      <c r="H102" s="323"/>
      <c r="I102" s="324"/>
      <c r="J102" s="226">
        <f>ROUND(SUM(J99:J101),2)</f>
        <v>30296.799999999999</v>
      </c>
      <c r="K102" s="278">
        <f>J102*1.2493</f>
        <v>37849.792240000002</v>
      </c>
      <c r="L102" s="133"/>
      <c r="M102" s="133"/>
      <c r="N102" s="133"/>
      <c r="O102" s="133"/>
      <c r="P102" s="133"/>
      <c r="Q102" s="133"/>
      <c r="R102" s="133"/>
      <c r="S102" s="133"/>
      <c r="T102" s="133"/>
    </row>
    <row r="103" spans="1:20" ht="15" customHeight="1" x14ac:dyDescent="0.2">
      <c r="A103" s="227"/>
      <c r="B103" s="212" t="s">
        <v>1</v>
      </c>
      <c r="C103" s="253" t="s">
        <v>30</v>
      </c>
      <c r="D103" s="212" t="s">
        <v>31</v>
      </c>
      <c r="E103" s="254" t="s">
        <v>2</v>
      </c>
      <c r="F103" s="208" t="s">
        <v>3</v>
      </c>
      <c r="G103" s="209" t="s">
        <v>4</v>
      </c>
      <c r="H103" s="210" t="s">
        <v>5</v>
      </c>
      <c r="I103" s="210" t="s">
        <v>6</v>
      </c>
      <c r="J103" s="210" t="s">
        <v>7</v>
      </c>
      <c r="K103" s="272"/>
    </row>
    <row r="104" spans="1:20" ht="15" customHeight="1" x14ac:dyDescent="0.2">
      <c r="A104" s="227"/>
      <c r="B104" s="284">
        <v>11</v>
      </c>
      <c r="C104" s="243" t="s">
        <v>8</v>
      </c>
      <c r="D104" s="243">
        <v>260000</v>
      </c>
      <c r="E104" s="316" t="s">
        <v>19</v>
      </c>
      <c r="F104" s="316"/>
      <c r="G104" s="316"/>
      <c r="H104" s="316"/>
      <c r="I104" s="316"/>
      <c r="J104" s="317"/>
      <c r="K104" s="272"/>
    </row>
    <row r="105" spans="1:20" ht="15" customHeight="1" x14ac:dyDescent="0.2">
      <c r="A105" s="227"/>
      <c r="B105" s="195" t="s">
        <v>281</v>
      </c>
      <c r="C105" s="11" t="s">
        <v>8</v>
      </c>
      <c r="D105" s="11">
        <v>260204</v>
      </c>
      <c r="E105" s="16" t="s">
        <v>136</v>
      </c>
      <c r="F105" s="9">
        <v>44.03</v>
      </c>
      <c r="G105" s="9" t="s">
        <v>25</v>
      </c>
      <c r="H105" s="150">
        <v>0.52</v>
      </c>
      <c r="I105" s="150">
        <v>2.65</v>
      </c>
      <c r="J105" s="246">
        <f t="shared" ref="J105:J108" si="9">(I105+H105)*F105</f>
        <v>139.57509999999999</v>
      </c>
      <c r="K105" s="277"/>
      <c r="L105" s="133"/>
      <c r="M105" s="133"/>
      <c r="N105" s="133"/>
      <c r="O105" s="133"/>
      <c r="P105" s="133"/>
      <c r="Q105" s="133"/>
      <c r="R105" s="133"/>
      <c r="S105" s="133"/>
      <c r="T105" s="133"/>
    </row>
    <row r="106" spans="1:20" ht="15" customHeight="1" x14ac:dyDescent="0.2">
      <c r="A106" s="227"/>
      <c r="B106" s="195" t="s">
        <v>293</v>
      </c>
      <c r="C106" s="11" t="s">
        <v>8</v>
      </c>
      <c r="D106" s="11">
        <v>261008</v>
      </c>
      <c r="E106" s="16" t="s">
        <v>276</v>
      </c>
      <c r="F106" s="9">
        <f>'MEMÓRIA DE CÁLCULO'!E201</f>
        <v>69.740000000000009</v>
      </c>
      <c r="G106" s="9" t="s">
        <v>25</v>
      </c>
      <c r="H106" s="150">
        <v>6.42</v>
      </c>
      <c r="I106" s="150">
        <v>7.77</v>
      </c>
      <c r="J106" s="246">
        <f>(I106+H106)*F106</f>
        <v>989.61060000000009</v>
      </c>
      <c r="K106" s="277"/>
      <c r="L106" s="133"/>
      <c r="M106" s="133"/>
      <c r="N106" s="133"/>
      <c r="O106" s="133"/>
      <c r="P106" s="133"/>
      <c r="Q106" s="133"/>
      <c r="R106" s="133"/>
      <c r="S106" s="133"/>
      <c r="T106" s="133"/>
    </row>
    <row r="107" spans="1:20" ht="30" customHeight="1" x14ac:dyDescent="0.2">
      <c r="A107" s="227"/>
      <c r="B107" s="195" t="s">
        <v>294</v>
      </c>
      <c r="C107" s="11" t="s">
        <v>8</v>
      </c>
      <c r="D107" s="11">
        <v>261503</v>
      </c>
      <c r="E107" s="12" t="s">
        <v>277</v>
      </c>
      <c r="F107" s="9">
        <f>'MEMÓRIA DE CÁLCULO'!E204</f>
        <v>69.740000000000009</v>
      </c>
      <c r="G107" s="9" t="s">
        <v>25</v>
      </c>
      <c r="H107" s="150">
        <v>4.5999999999999996</v>
      </c>
      <c r="I107" s="150">
        <v>10.44</v>
      </c>
      <c r="J107" s="246">
        <f t="shared" si="9"/>
        <v>1048.8896</v>
      </c>
      <c r="K107" s="277"/>
      <c r="L107" s="133"/>
      <c r="M107" s="133"/>
      <c r="N107" s="133"/>
      <c r="O107" s="133"/>
      <c r="P107" s="133"/>
      <c r="Q107" s="133"/>
      <c r="R107" s="133"/>
      <c r="S107" s="133"/>
      <c r="T107" s="133"/>
    </row>
    <row r="108" spans="1:20" ht="15" customHeight="1" x14ac:dyDescent="0.2">
      <c r="A108" s="227"/>
      <c r="B108" s="199" t="s">
        <v>327</v>
      </c>
      <c r="C108" s="200" t="s">
        <v>8</v>
      </c>
      <c r="D108" s="200">
        <v>261703</v>
      </c>
      <c r="E108" s="264" t="s">
        <v>374</v>
      </c>
      <c r="F108" s="201">
        <f>'MEMÓRIA DE CÁLCULO'!E207</f>
        <v>558.67999999999995</v>
      </c>
      <c r="G108" s="201" t="s">
        <v>25</v>
      </c>
      <c r="H108" s="257">
        <v>4.13</v>
      </c>
      <c r="I108" s="257">
        <v>7.25</v>
      </c>
      <c r="J108" s="258">
        <f t="shared" si="9"/>
        <v>6357.7783999999992</v>
      </c>
      <c r="K108" s="277"/>
      <c r="L108" s="133"/>
      <c r="M108" s="133"/>
      <c r="N108" s="133"/>
      <c r="O108" s="133"/>
      <c r="P108" s="133"/>
      <c r="Q108" s="133"/>
      <c r="R108" s="133"/>
      <c r="S108" s="133"/>
      <c r="T108" s="133"/>
    </row>
    <row r="109" spans="1:20" ht="15" customHeight="1" x14ac:dyDescent="0.2">
      <c r="A109" s="227"/>
      <c r="B109" s="322" t="s">
        <v>38</v>
      </c>
      <c r="C109" s="323"/>
      <c r="D109" s="323"/>
      <c r="E109" s="323"/>
      <c r="F109" s="323"/>
      <c r="G109" s="323"/>
      <c r="H109" s="323"/>
      <c r="I109" s="324"/>
      <c r="J109" s="226">
        <f>ROUND(SUM(J105:J108),2)</f>
        <v>8535.85</v>
      </c>
      <c r="K109" s="278">
        <f>J109*1.2493</f>
        <v>10663.837405</v>
      </c>
      <c r="L109" s="133"/>
      <c r="M109" s="133"/>
      <c r="N109" s="133"/>
      <c r="O109" s="133"/>
      <c r="P109" s="133"/>
      <c r="Q109" s="133"/>
      <c r="R109" s="133"/>
      <c r="S109" s="133"/>
      <c r="T109" s="133"/>
    </row>
    <row r="110" spans="1:20" ht="15" customHeight="1" x14ac:dyDescent="0.2">
      <c r="A110" s="227"/>
      <c r="B110" s="212" t="s">
        <v>1</v>
      </c>
      <c r="C110" s="253" t="s">
        <v>30</v>
      </c>
      <c r="D110" s="212" t="s">
        <v>31</v>
      </c>
      <c r="E110" s="254" t="s">
        <v>2</v>
      </c>
      <c r="F110" s="208" t="s">
        <v>3</v>
      </c>
      <c r="G110" s="209" t="s">
        <v>4</v>
      </c>
      <c r="H110" s="210" t="s">
        <v>5</v>
      </c>
      <c r="I110" s="210" t="s">
        <v>6</v>
      </c>
      <c r="J110" s="210" t="s">
        <v>7</v>
      </c>
      <c r="K110" s="272"/>
    </row>
    <row r="111" spans="1:20" ht="15" customHeight="1" x14ac:dyDescent="0.2">
      <c r="A111" s="227"/>
      <c r="B111" s="284">
        <v>12</v>
      </c>
      <c r="C111" s="243" t="s">
        <v>8</v>
      </c>
      <c r="D111" s="243">
        <v>270000</v>
      </c>
      <c r="E111" s="316" t="s">
        <v>20</v>
      </c>
      <c r="F111" s="316"/>
      <c r="G111" s="316"/>
      <c r="H111" s="316"/>
      <c r="I111" s="316"/>
      <c r="J111" s="317"/>
      <c r="K111" s="272"/>
    </row>
    <row r="112" spans="1:20" s="5" customFormat="1" ht="15" customHeight="1" x14ac:dyDescent="0.2">
      <c r="A112" s="228"/>
      <c r="B112" s="286" t="s">
        <v>282</v>
      </c>
      <c r="C112" s="18" t="s">
        <v>8</v>
      </c>
      <c r="D112" s="18">
        <v>270501</v>
      </c>
      <c r="E112" s="16" t="s">
        <v>115</v>
      </c>
      <c r="F112" s="17">
        <f>'MEMÓRIA DE CÁLCULO'!E212</f>
        <v>261.41019247813165</v>
      </c>
      <c r="G112" s="18" t="s">
        <v>25</v>
      </c>
      <c r="H112" s="24">
        <v>1.53</v>
      </c>
      <c r="I112" s="24">
        <v>1.62</v>
      </c>
      <c r="J112" s="247">
        <f>(I112+H112)*F112</f>
        <v>823.44210630611474</v>
      </c>
      <c r="K112" s="279"/>
      <c r="L112" s="135"/>
      <c r="M112" s="135"/>
      <c r="N112" s="135"/>
      <c r="O112" s="135"/>
      <c r="P112" s="135"/>
      <c r="Q112" s="135"/>
      <c r="R112" s="135"/>
      <c r="S112" s="135"/>
      <c r="T112" s="135"/>
    </row>
    <row r="113" spans="1:20" s="5" customFormat="1" ht="30" customHeight="1" x14ac:dyDescent="0.2">
      <c r="A113" s="228"/>
      <c r="B113" s="286" t="s">
        <v>283</v>
      </c>
      <c r="C113" s="18" t="s">
        <v>8</v>
      </c>
      <c r="D113" s="25">
        <v>270210</v>
      </c>
      <c r="E113" s="26" t="s">
        <v>109</v>
      </c>
      <c r="F113" s="27">
        <f>'MEMÓRIA DE CÁLCULO'!E215</f>
        <v>1065.4930000000002</v>
      </c>
      <c r="G113" s="27" t="s">
        <v>25</v>
      </c>
      <c r="H113" s="29">
        <v>14.62</v>
      </c>
      <c r="I113" s="29">
        <v>4.68</v>
      </c>
      <c r="J113" s="247">
        <f t="shared" ref="J113:J124" si="10">(I113+H113)*F113</f>
        <v>20564.014900000002</v>
      </c>
      <c r="K113" s="279"/>
      <c r="L113" s="135"/>
      <c r="M113" s="135"/>
      <c r="N113" s="135"/>
      <c r="O113" s="135"/>
      <c r="P113" s="135"/>
      <c r="Q113" s="135"/>
      <c r="R113" s="135"/>
      <c r="S113" s="135"/>
      <c r="T113" s="135"/>
    </row>
    <row r="114" spans="1:20" s="5" customFormat="1" ht="15" customHeight="1" x14ac:dyDescent="0.2">
      <c r="A114" s="228"/>
      <c r="B114" s="286" t="s">
        <v>284</v>
      </c>
      <c r="C114" s="18" t="s">
        <v>8</v>
      </c>
      <c r="D114" s="28">
        <v>270810</v>
      </c>
      <c r="E114" s="16" t="s">
        <v>165</v>
      </c>
      <c r="F114" s="112">
        <f>'MEMÓRIA DE CÁLCULO'!E218</f>
        <v>1</v>
      </c>
      <c r="G114" s="17" t="s">
        <v>135</v>
      </c>
      <c r="H114" s="24">
        <v>824.41</v>
      </c>
      <c r="I114" s="24">
        <v>4.49</v>
      </c>
      <c r="J114" s="247">
        <f t="shared" si="10"/>
        <v>828.9</v>
      </c>
      <c r="K114" s="279"/>
      <c r="L114" s="135"/>
      <c r="M114" s="135"/>
      <c r="N114" s="135"/>
      <c r="O114" s="135"/>
      <c r="P114" s="135"/>
      <c r="Q114" s="135"/>
      <c r="R114" s="135"/>
      <c r="S114" s="135"/>
      <c r="T114" s="135"/>
    </row>
    <row r="115" spans="1:20" s="5" customFormat="1" ht="15" customHeight="1" x14ac:dyDescent="0.2">
      <c r="A115" s="228"/>
      <c r="B115" s="286" t="s">
        <v>285</v>
      </c>
      <c r="C115" s="18" t="s">
        <v>8</v>
      </c>
      <c r="D115" s="28">
        <v>270811</v>
      </c>
      <c r="E115" s="26" t="s">
        <v>116</v>
      </c>
      <c r="F115" s="27">
        <f>'MEMÓRIA DE CÁLCULO'!E221</f>
        <v>1</v>
      </c>
      <c r="G115" s="28" t="s">
        <v>135</v>
      </c>
      <c r="H115" s="29">
        <v>259.38</v>
      </c>
      <c r="I115" s="29">
        <v>354.92</v>
      </c>
      <c r="J115" s="247">
        <f t="shared" si="10"/>
        <v>614.29999999999995</v>
      </c>
      <c r="K115" s="279"/>
      <c r="L115" s="135"/>
      <c r="M115" s="135"/>
      <c r="N115" s="135"/>
      <c r="O115" s="135"/>
      <c r="P115" s="135"/>
      <c r="Q115" s="135"/>
      <c r="R115" s="135"/>
      <c r="S115" s="135"/>
      <c r="T115" s="135"/>
    </row>
    <row r="116" spans="1:20" s="5" customFormat="1" ht="15" customHeight="1" x14ac:dyDescent="0.2">
      <c r="A116" s="228"/>
      <c r="B116" s="287" t="s">
        <v>328</v>
      </c>
      <c r="C116" s="266" t="s">
        <v>162</v>
      </c>
      <c r="D116" s="267" t="s">
        <v>164</v>
      </c>
      <c r="E116" s="268" t="s">
        <v>269</v>
      </c>
      <c r="F116" s="269">
        <v>1</v>
      </c>
      <c r="G116" s="270" t="s">
        <v>135</v>
      </c>
      <c r="H116" s="340">
        <f>(86000+112000)/2</f>
        <v>99000</v>
      </c>
      <c r="I116" s="341"/>
      <c r="J116" s="271">
        <f t="shared" si="10"/>
        <v>99000</v>
      </c>
      <c r="K116" s="279"/>
      <c r="L116" s="135"/>
      <c r="M116" s="135"/>
      <c r="N116" s="135"/>
      <c r="O116" s="135"/>
      <c r="P116" s="135"/>
      <c r="Q116" s="135"/>
      <c r="R116" s="135"/>
      <c r="S116" s="135"/>
      <c r="T116" s="135"/>
    </row>
    <row r="117" spans="1:20" ht="15" customHeight="1" x14ac:dyDescent="0.2">
      <c r="A117" s="227"/>
      <c r="B117" s="286" t="s">
        <v>286</v>
      </c>
      <c r="C117" s="22" t="s">
        <v>176</v>
      </c>
      <c r="D117" s="22" t="str">
        <f>'RELATÓRIO DE COMPOSIÇÃO'!B14</f>
        <v>COMP. 01</v>
      </c>
      <c r="E117" s="23" t="str">
        <f>'RELATÓRIO DE COMPOSIÇÃO'!C14</f>
        <v>PLACA DE CONCRETO COM LETREIRO 3,20m X 1,70m</v>
      </c>
      <c r="F117" s="9">
        <f>'MEMÓRIA DE CÁLCULO'!E226</f>
        <v>1</v>
      </c>
      <c r="G117" s="9" t="s">
        <v>135</v>
      </c>
      <c r="H117" s="320">
        <f>'RELATÓRIO DE COMPOSIÇÃO'!J24</f>
        <v>5365.05127275</v>
      </c>
      <c r="I117" s="321"/>
      <c r="J117" s="246">
        <f>(H117)*F117</f>
        <v>5365.05127275</v>
      </c>
      <c r="K117" s="277"/>
      <c r="L117" s="133"/>
      <c r="M117" s="133"/>
      <c r="N117" s="133"/>
      <c r="O117" s="133"/>
      <c r="P117" s="133"/>
      <c r="Q117" s="133"/>
      <c r="R117" s="133"/>
      <c r="S117" s="133"/>
      <c r="T117" s="133"/>
    </row>
    <row r="118" spans="1:20" s="5" customFormat="1" ht="15" customHeight="1" x14ac:dyDescent="0.2">
      <c r="A118" s="228"/>
      <c r="B118" s="286" t="s">
        <v>287</v>
      </c>
      <c r="C118" s="18" t="s">
        <v>176</v>
      </c>
      <c r="D118" s="28" t="str">
        <f>'RELATÓRIO DE COMPOSIÇÃO'!B26</f>
        <v>COMP. 02</v>
      </c>
      <c r="E118" s="151" t="str">
        <f>'RELATÓRIO DE COMPOSIÇÃO'!C26</f>
        <v>BANCO DE CONCRETO - TIPO 1</v>
      </c>
      <c r="F118" s="17">
        <f>'MEMÓRIA DE CÁLCULO'!E230</f>
        <v>3</v>
      </c>
      <c r="G118" s="30" t="s">
        <v>135</v>
      </c>
      <c r="H118" s="318">
        <f>'RELATÓRIO DE COMPOSIÇÃO'!J34</f>
        <v>4219.1374690000002</v>
      </c>
      <c r="I118" s="319"/>
      <c r="J118" s="247">
        <f t="shared" si="10"/>
        <v>12657.412407</v>
      </c>
      <c r="K118" s="279"/>
      <c r="L118" s="135"/>
      <c r="M118" s="135"/>
      <c r="N118" s="135"/>
      <c r="O118" s="135"/>
      <c r="P118" s="135"/>
      <c r="Q118" s="135"/>
      <c r="R118" s="135"/>
      <c r="S118" s="135"/>
      <c r="T118" s="135"/>
    </row>
    <row r="119" spans="1:20" s="5" customFormat="1" ht="15" customHeight="1" x14ac:dyDescent="0.2">
      <c r="A119" s="228"/>
      <c r="B119" s="286" t="s">
        <v>288</v>
      </c>
      <c r="C119" s="18" t="s">
        <v>176</v>
      </c>
      <c r="D119" s="28" t="str">
        <f>'RELATÓRIO DE COMPOSIÇÃO'!B36</f>
        <v>COMP. 03</v>
      </c>
      <c r="E119" s="151" t="str">
        <f>'RELATÓRIO DE COMPOSIÇÃO'!C36</f>
        <v>BANCO DE CONCRETO - TIPO 2</v>
      </c>
      <c r="F119" s="17">
        <f>'MEMÓRIA DE CÁLCULO'!E233</f>
        <v>1</v>
      </c>
      <c r="G119" s="30" t="s">
        <v>135</v>
      </c>
      <c r="H119" s="318">
        <f>'RELATÓRIO DE COMPOSIÇÃO'!J44</f>
        <v>2396.5672359999999</v>
      </c>
      <c r="I119" s="319"/>
      <c r="J119" s="247">
        <f t="shared" si="10"/>
        <v>2396.5672359999999</v>
      </c>
      <c r="K119" s="279"/>
      <c r="L119" s="135"/>
      <c r="M119" s="135"/>
      <c r="N119" s="135"/>
      <c r="O119" s="135"/>
      <c r="P119" s="135"/>
      <c r="Q119" s="135"/>
      <c r="R119" s="135"/>
      <c r="S119" s="135"/>
      <c r="T119" s="135"/>
    </row>
    <row r="120" spans="1:20" s="5" customFormat="1" ht="15" customHeight="1" x14ac:dyDescent="0.2">
      <c r="A120" s="228"/>
      <c r="B120" s="286" t="s">
        <v>289</v>
      </c>
      <c r="C120" s="18" t="s">
        <v>176</v>
      </c>
      <c r="D120" s="28" t="str">
        <f>'RELATÓRIO DE COMPOSIÇÃO'!B46</f>
        <v>COMP. 04</v>
      </c>
      <c r="E120" s="151" t="str">
        <f>'RELATÓRIO DE COMPOSIÇÃO'!C46</f>
        <v>BANCO DE CONCRETO - TIPO 3</v>
      </c>
      <c r="F120" s="17">
        <f>'MEMÓRIA DE CÁLCULO'!E236</f>
        <v>5</v>
      </c>
      <c r="G120" s="30" t="s">
        <v>135</v>
      </c>
      <c r="H120" s="318">
        <f>'RELATÓRIO DE COMPOSIÇÃO'!J54</f>
        <v>680.67821750000007</v>
      </c>
      <c r="I120" s="319"/>
      <c r="J120" s="247">
        <f t="shared" si="10"/>
        <v>3403.3910875000001</v>
      </c>
      <c r="K120" s="279"/>
      <c r="L120" s="135"/>
      <c r="M120" s="135"/>
      <c r="N120" s="135"/>
      <c r="O120" s="135"/>
      <c r="P120" s="135"/>
      <c r="Q120" s="135"/>
      <c r="R120" s="135"/>
      <c r="S120" s="135"/>
      <c r="T120" s="135"/>
    </row>
    <row r="121" spans="1:20" s="5" customFormat="1" ht="30" customHeight="1" x14ac:dyDescent="0.2">
      <c r="A121" s="228"/>
      <c r="B121" s="286" t="s">
        <v>290</v>
      </c>
      <c r="C121" s="30" t="s">
        <v>21</v>
      </c>
      <c r="D121" s="28">
        <v>98516</v>
      </c>
      <c r="E121" s="16" t="s">
        <v>163</v>
      </c>
      <c r="F121" s="17">
        <f>'MEMÓRIA DE CÁLCULO'!E239</f>
        <v>10</v>
      </c>
      <c r="G121" s="30" t="s">
        <v>135</v>
      </c>
      <c r="H121" s="318">
        <v>311.39</v>
      </c>
      <c r="I121" s="319"/>
      <c r="J121" s="247">
        <f t="shared" si="10"/>
        <v>3113.8999999999996</v>
      </c>
      <c r="K121" s="279"/>
      <c r="L121" s="135"/>
      <c r="M121" s="135"/>
      <c r="N121" s="135"/>
      <c r="O121" s="135"/>
      <c r="P121" s="135"/>
      <c r="Q121" s="135"/>
      <c r="R121" s="135"/>
      <c r="S121" s="135"/>
      <c r="T121" s="135"/>
    </row>
    <row r="122" spans="1:20" s="5" customFormat="1" ht="30" customHeight="1" x14ac:dyDescent="0.2">
      <c r="A122" s="228"/>
      <c r="B122" s="286" t="s">
        <v>291</v>
      </c>
      <c r="C122" s="30" t="s">
        <v>302</v>
      </c>
      <c r="D122" s="28">
        <v>10826</v>
      </c>
      <c r="E122" s="16" t="s">
        <v>303</v>
      </c>
      <c r="F122" s="17">
        <f>'MEMÓRIA DE CÁLCULO'!E242</f>
        <v>125</v>
      </c>
      <c r="G122" s="30" t="s">
        <v>135</v>
      </c>
      <c r="H122" s="318">
        <v>57.47</v>
      </c>
      <c r="I122" s="319"/>
      <c r="J122" s="247">
        <f t="shared" si="10"/>
        <v>7183.75</v>
      </c>
      <c r="K122" s="279"/>
      <c r="L122" s="135"/>
      <c r="M122" s="135"/>
      <c r="N122" s="135"/>
      <c r="O122" s="135"/>
      <c r="P122" s="135"/>
      <c r="Q122" s="135"/>
      <c r="R122" s="135"/>
      <c r="S122" s="135"/>
      <c r="T122" s="135"/>
    </row>
    <row r="123" spans="1:20" s="5" customFormat="1" ht="30" customHeight="1" x14ac:dyDescent="0.2">
      <c r="A123" s="228"/>
      <c r="B123" s="286" t="s">
        <v>292</v>
      </c>
      <c r="C123" s="18" t="s">
        <v>162</v>
      </c>
      <c r="D123" s="18" t="s">
        <v>164</v>
      </c>
      <c r="E123" s="16" t="s">
        <v>166</v>
      </c>
      <c r="F123" s="17">
        <v>1</v>
      </c>
      <c r="G123" s="30" t="s">
        <v>135</v>
      </c>
      <c r="H123" s="318">
        <v>34450</v>
      </c>
      <c r="I123" s="319"/>
      <c r="J123" s="247">
        <f t="shared" si="10"/>
        <v>34450</v>
      </c>
      <c r="K123" s="279"/>
      <c r="L123" s="135"/>
      <c r="M123" s="135"/>
      <c r="N123" s="135"/>
      <c r="O123" s="135"/>
      <c r="P123" s="135"/>
      <c r="Q123" s="135"/>
      <c r="R123" s="135"/>
      <c r="S123" s="135"/>
      <c r="T123" s="135"/>
    </row>
    <row r="124" spans="1:20" s="5" customFormat="1" ht="45" customHeight="1" x14ac:dyDescent="0.2">
      <c r="A124" s="228"/>
      <c r="B124" s="286" t="s">
        <v>304</v>
      </c>
      <c r="C124" s="30" t="s">
        <v>21</v>
      </c>
      <c r="D124" s="18">
        <v>103310</v>
      </c>
      <c r="E124" s="16" t="s">
        <v>301</v>
      </c>
      <c r="F124" s="17">
        <v>6</v>
      </c>
      <c r="G124" s="30" t="s">
        <v>135</v>
      </c>
      <c r="H124" s="318">
        <v>1269.58</v>
      </c>
      <c r="I124" s="319"/>
      <c r="J124" s="247">
        <f t="shared" si="10"/>
        <v>7617.48</v>
      </c>
      <c r="K124" s="279"/>
      <c r="L124" s="135"/>
      <c r="M124" s="135"/>
      <c r="N124" s="135"/>
      <c r="O124" s="135"/>
      <c r="P124" s="135"/>
      <c r="Q124" s="135"/>
      <c r="R124" s="135"/>
      <c r="S124" s="135"/>
      <c r="T124" s="135"/>
    </row>
    <row r="125" spans="1:20" s="5" customFormat="1" ht="15" customHeight="1" x14ac:dyDescent="0.2">
      <c r="A125" s="228"/>
      <c r="B125" s="286" t="s">
        <v>377</v>
      </c>
      <c r="C125" s="30" t="s">
        <v>124</v>
      </c>
      <c r="D125" s="28">
        <v>44455</v>
      </c>
      <c r="E125" s="16" t="s">
        <v>123</v>
      </c>
      <c r="F125" s="17">
        <f>'MEMÓRIA DE CÁLCULO'!E252</f>
        <v>140.92000000000002</v>
      </c>
      <c r="G125" s="30" t="s">
        <v>86</v>
      </c>
      <c r="H125" s="318">
        <v>24.14</v>
      </c>
      <c r="I125" s="319"/>
      <c r="J125" s="247">
        <f>(H125)*F125</f>
        <v>3401.8088000000002</v>
      </c>
      <c r="K125" s="279"/>
      <c r="L125" s="135"/>
      <c r="M125" s="135"/>
      <c r="N125" s="135"/>
      <c r="O125" s="135"/>
      <c r="P125" s="135"/>
      <c r="Q125" s="135"/>
      <c r="R125" s="135"/>
      <c r="S125" s="135"/>
      <c r="T125" s="135"/>
    </row>
    <row r="126" spans="1:20" s="5" customFormat="1" ht="15" customHeight="1" x14ac:dyDescent="0.2">
      <c r="A126" s="228"/>
      <c r="B126" s="288" t="s">
        <v>378</v>
      </c>
      <c r="C126" s="249" t="s">
        <v>124</v>
      </c>
      <c r="D126" s="250">
        <v>42476</v>
      </c>
      <c r="E126" s="251" t="s">
        <v>313</v>
      </c>
      <c r="F126" s="252">
        <f>'MEMÓRIA DE CÁLCULO'!E256</f>
        <v>32</v>
      </c>
      <c r="G126" s="249" t="s">
        <v>108</v>
      </c>
      <c r="H126" s="338">
        <v>794.48</v>
      </c>
      <c r="I126" s="339"/>
      <c r="J126" s="248">
        <f t="shared" ref="J126" si="11">(H126)*F126</f>
        <v>25423.360000000001</v>
      </c>
      <c r="K126" s="279"/>
      <c r="L126" s="135"/>
      <c r="M126" s="135"/>
      <c r="N126" s="152"/>
      <c r="O126" s="134"/>
      <c r="P126" s="134"/>
      <c r="Q126" s="135"/>
      <c r="R126" s="135"/>
      <c r="S126" s="135"/>
      <c r="T126" s="135"/>
    </row>
    <row r="127" spans="1:20" ht="15" customHeight="1" x14ac:dyDescent="0.2">
      <c r="A127" s="227"/>
      <c r="B127" s="332" t="s">
        <v>38</v>
      </c>
      <c r="C127" s="333"/>
      <c r="D127" s="333"/>
      <c r="E127" s="333"/>
      <c r="F127" s="333"/>
      <c r="G127" s="333"/>
      <c r="H127" s="333"/>
      <c r="I127" s="334"/>
      <c r="J127" s="225">
        <f>SUM(J112:J126)</f>
        <v>226843.37780955614</v>
      </c>
      <c r="K127" s="278">
        <f>J127*1.2493-(J125+J126+J116)*0.2493</f>
        <v>251528.61731563852</v>
      </c>
      <c r="L127" s="133"/>
      <c r="M127" s="133"/>
      <c r="N127" s="152">
        <f>SUM(J113,J114,J125,J115,J116,J126,J118,J119,J120,J89,J121,J123,J124,J117,J109,J96,J81,J70,J43,J32,J25,J18,J16,J17,J51,J85)</f>
        <v>525371.7484348499</v>
      </c>
      <c r="O127" s="134">
        <f>N127*1.2493</f>
        <v>656346.92531965801</v>
      </c>
      <c r="P127" s="134">
        <f>SUM(O127,J125)</f>
        <v>659748.73411965801</v>
      </c>
      <c r="Q127" s="133"/>
      <c r="R127" s="133"/>
      <c r="S127" s="133"/>
      <c r="T127" s="133"/>
    </row>
    <row r="128" spans="1:20" ht="15" customHeight="1" x14ac:dyDescent="0.2">
      <c r="B128" s="280"/>
      <c r="C128" s="280"/>
      <c r="D128" s="280"/>
      <c r="E128" s="433"/>
      <c r="F128" s="280"/>
      <c r="G128" s="434"/>
      <c r="H128" s="435"/>
      <c r="I128" s="435"/>
      <c r="J128" s="436"/>
      <c r="K128" s="437"/>
      <c r="L128" s="133"/>
      <c r="M128" s="133"/>
      <c r="N128" s="133"/>
      <c r="O128" s="133"/>
      <c r="P128" s="133"/>
      <c r="Q128" s="133"/>
      <c r="R128" s="133"/>
      <c r="S128" s="133"/>
      <c r="T128" s="133"/>
    </row>
    <row r="129" spans="1:20" ht="15" customHeight="1" x14ac:dyDescent="0.2">
      <c r="A129" s="227"/>
      <c r="B129" s="335" t="s">
        <v>39</v>
      </c>
      <c r="C129" s="336"/>
      <c r="D129" s="336"/>
      <c r="E129" s="336"/>
      <c r="F129" s="336"/>
      <c r="G129" s="336"/>
      <c r="H129" s="336"/>
      <c r="I129" s="337"/>
      <c r="J129" s="274">
        <f>SUM(J27,J32,J43,J70,J81,J96,J102,J109,J127,J89,J51,J85)</f>
        <v>569828.89875206689</v>
      </c>
      <c r="K129" s="277"/>
      <c r="L129" s="133"/>
      <c r="M129" s="133"/>
      <c r="N129" s="133"/>
      <c r="O129" s="133"/>
      <c r="P129" s="133"/>
      <c r="Q129" s="133"/>
      <c r="R129" s="133"/>
      <c r="S129" s="133"/>
      <c r="T129" s="133"/>
    </row>
    <row r="130" spans="1:20" ht="15" customHeight="1" x14ac:dyDescent="0.2">
      <c r="A130" s="227"/>
      <c r="B130" s="332" t="s">
        <v>198</v>
      </c>
      <c r="C130" s="333"/>
      <c r="D130" s="333"/>
      <c r="E130" s="333"/>
      <c r="F130" s="333"/>
      <c r="G130" s="333"/>
      <c r="H130" s="333"/>
      <c r="I130" s="334"/>
      <c r="J130" s="275">
        <f>J129*0.2493-(J125+J126+J116)*0.2493</f>
        <v>110191.52987705026</v>
      </c>
      <c r="K130" s="278">
        <f>SUM(K27,K32,K43,K70,K81,K96,K102,K109,K127)</f>
        <v>638153.45951915684</v>
      </c>
      <c r="L130" s="133"/>
      <c r="M130" s="133"/>
      <c r="N130" s="133"/>
      <c r="O130" s="133"/>
      <c r="P130" s="133"/>
      <c r="Q130" s="133"/>
      <c r="R130" s="133"/>
      <c r="S130" s="133"/>
      <c r="T130" s="133"/>
    </row>
    <row r="131" spans="1:20" ht="15" customHeight="1" x14ac:dyDescent="0.2">
      <c r="A131" s="227"/>
      <c r="B131" s="322" t="s">
        <v>40</v>
      </c>
      <c r="C131" s="323"/>
      <c r="D131" s="323"/>
      <c r="E131" s="323"/>
      <c r="F131" s="323"/>
      <c r="G131" s="323"/>
      <c r="H131" s="323"/>
      <c r="I131" s="324"/>
      <c r="J131" s="276">
        <f>J130+J129</f>
        <v>680020.42862911709</v>
      </c>
      <c r="K131" s="277"/>
      <c r="L131" s="133"/>
      <c r="M131" s="133"/>
      <c r="N131" s="133"/>
      <c r="O131" s="133"/>
      <c r="P131" s="133"/>
      <c r="Q131" s="133"/>
      <c r="R131" s="133"/>
      <c r="S131" s="133"/>
      <c r="T131" s="133"/>
    </row>
    <row r="132" spans="1:20" ht="15" customHeight="1" x14ac:dyDescent="0.2">
      <c r="A132" s="438"/>
      <c r="B132" s="439" t="s">
        <v>383</v>
      </c>
      <c r="C132" s="439"/>
      <c r="D132" s="439"/>
      <c r="E132" s="439"/>
      <c r="F132" s="439"/>
      <c r="G132" s="439"/>
      <c r="H132" s="440"/>
      <c r="I132" s="440"/>
      <c r="J132" s="440"/>
      <c r="K132" s="277"/>
      <c r="L132" s="133"/>
      <c r="M132" s="133"/>
      <c r="N132" s="133"/>
      <c r="O132" s="133"/>
      <c r="P132" s="133"/>
      <c r="Q132" s="133"/>
      <c r="R132" s="133"/>
      <c r="S132" s="133"/>
      <c r="T132" s="133"/>
    </row>
    <row r="133" spans="1:20" ht="15" customHeight="1" x14ac:dyDescent="0.2">
      <c r="A133" s="227"/>
      <c r="B133" s="441"/>
      <c r="C133" s="2"/>
      <c r="D133" s="2"/>
      <c r="E133" s="2"/>
      <c r="F133" s="2"/>
      <c r="G133" s="2"/>
      <c r="H133" s="442"/>
      <c r="I133" s="442"/>
      <c r="J133" s="443"/>
      <c r="K133" s="133"/>
      <c r="L133" s="152">
        <f>J129-J102</f>
        <v>539532.09875206684</v>
      </c>
      <c r="M133" s="444">
        <v>0.06</v>
      </c>
      <c r="N133" s="133"/>
      <c r="O133" s="133"/>
      <c r="P133" s="133"/>
      <c r="Q133" s="133"/>
      <c r="R133" s="133"/>
      <c r="S133" s="133"/>
      <c r="T133" s="133"/>
    </row>
    <row r="134" spans="1:20" ht="15" customHeight="1" x14ac:dyDescent="0.2">
      <c r="A134" s="227"/>
      <c r="B134" s="441"/>
      <c r="C134" s="2"/>
      <c r="D134" s="2"/>
      <c r="E134" s="2"/>
      <c r="F134" s="2"/>
      <c r="G134" s="2"/>
      <c r="H134" s="442"/>
      <c r="I134" s="442"/>
      <c r="J134" s="443"/>
      <c r="K134" s="133"/>
      <c r="L134" s="152"/>
      <c r="M134" s="444"/>
      <c r="N134" s="133"/>
      <c r="O134" s="133"/>
      <c r="P134" s="133"/>
      <c r="Q134" s="133"/>
      <c r="R134" s="133"/>
      <c r="S134" s="133"/>
      <c r="T134" s="133"/>
    </row>
    <row r="135" spans="1:20" ht="15" customHeight="1" x14ac:dyDescent="0.2">
      <c r="A135" s="227"/>
      <c r="B135" s="441"/>
      <c r="C135" s="2"/>
      <c r="D135" s="2"/>
      <c r="E135" s="2"/>
      <c r="F135" s="2"/>
      <c r="G135" s="2"/>
      <c r="H135" s="442"/>
      <c r="I135" s="442"/>
      <c r="J135" s="443"/>
      <c r="K135" s="133"/>
      <c r="L135" s="152"/>
      <c r="M135" s="444"/>
      <c r="N135" s="133"/>
      <c r="O135" s="133"/>
      <c r="P135" s="133"/>
      <c r="Q135" s="133"/>
      <c r="R135" s="133"/>
      <c r="S135" s="133"/>
      <c r="T135" s="133"/>
    </row>
    <row r="136" spans="1:20" ht="15" customHeight="1" x14ac:dyDescent="0.2">
      <c r="A136" s="227"/>
      <c r="B136" s="441"/>
      <c r="C136" s="2"/>
      <c r="D136" s="2"/>
      <c r="E136" s="2"/>
      <c r="F136" s="2"/>
      <c r="G136" s="2"/>
      <c r="H136" s="442"/>
      <c r="I136" s="442"/>
      <c r="J136" s="443"/>
      <c r="K136" s="133"/>
      <c r="L136" s="152">
        <f>L133*M133</f>
        <v>32371.925925124011</v>
      </c>
      <c r="M136" s="133"/>
      <c r="N136" s="133"/>
      <c r="O136" s="133"/>
      <c r="P136" s="133"/>
      <c r="Q136" s="133"/>
      <c r="R136" s="133"/>
      <c r="S136" s="133"/>
      <c r="T136" s="133"/>
    </row>
    <row r="137" spans="1:20" ht="15" customHeight="1" x14ac:dyDescent="0.2">
      <c r="A137" s="227"/>
      <c r="B137" s="363" t="s">
        <v>384</v>
      </c>
      <c r="C137" s="445"/>
      <c r="D137" s="445"/>
      <c r="E137" s="445"/>
      <c r="F137" s="445"/>
      <c r="G137" s="445"/>
      <c r="H137" s="445"/>
      <c r="I137" s="445"/>
      <c r="J137" s="364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</row>
    <row r="138" spans="1:20" ht="15" customHeight="1" x14ac:dyDescent="0.2">
      <c r="A138" s="227"/>
      <c r="B138" s="446" t="s">
        <v>381</v>
      </c>
      <c r="C138" s="447"/>
      <c r="D138" s="447"/>
      <c r="E138" s="447"/>
      <c r="F138" s="447"/>
      <c r="G138" s="447"/>
      <c r="H138" s="447"/>
      <c r="I138" s="447"/>
      <c r="J138" s="448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</row>
    <row r="139" spans="1:20" ht="15" customHeight="1" x14ac:dyDescent="0.2">
      <c r="A139" s="227"/>
      <c r="B139" s="363" t="s">
        <v>369</v>
      </c>
      <c r="C139" s="445"/>
      <c r="D139" s="445"/>
      <c r="E139" s="445"/>
      <c r="F139" s="445"/>
      <c r="G139" s="445"/>
      <c r="H139" s="445"/>
      <c r="I139" s="445"/>
      <c r="J139" s="364"/>
    </row>
    <row r="140" spans="1:20" ht="15" customHeight="1" x14ac:dyDescent="0.2">
      <c r="A140" s="227"/>
      <c r="B140" s="356" t="s">
        <v>370</v>
      </c>
      <c r="C140" s="449"/>
      <c r="D140" s="449"/>
      <c r="E140" s="449"/>
      <c r="F140" s="449"/>
      <c r="G140" s="449"/>
      <c r="H140" s="449"/>
      <c r="I140" s="449"/>
      <c r="J140" s="357"/>
    </row>
    <row r="141" spans="1:20" ht="15" customHeight="1" x14ac:dyDescent="0.2">
      <c r="B141" s="3"/>
      <c r="C141" s="102"/>
      <c r="D141" s="2"/>
      <c r="E141" s="2"/>
      <c r="F141" s="2"/>
      <c r="G141" s="2"/>
      <c r="H141" s="442"/>
      <c r="I141" s="442"/>
      <c r="J141" s="442"/>
    </row>
    <row r="142" spans="1:20" ht="15" customHeight="1" x14ac:dyDescent="0.2">
      <c r="B142" s="3"/>
      <c r="C142" s="102"/>
      <c r="D142" s="3"/>
      <c r="E142" s="37"/>
      <c r="F142" s="3"/>
      <c r="G142" s="450"/>
      <c r="H142" s="451"/>
      <c r="I142" s="452"/>
      <c r="J142" s="453"/>
    </row>
    <row r="143" spans="1:20" ht="15" customHeight="1" x14ac:dyDescent="0.2">
      <c r="B143" s="3"/>
      <c r="C143" s="102"/>
      <c r="D143" s="3"/>
      <c r="E143" s="37"/>
      <c r="F143" s="3"/>
      <c r="G143" s="450"/>
      <c r="H143" s="451"/>
      <c r="I143" s="452"/>
      <c r="J143" s="453"/>
    </row>
    <row r="144" spans="1:20" ht="15" customHeight="1" x14ac:dyDescent="0.2">
      <c r="B144" s="454" t="s">
        <v>26</v>
      </c>
      <c r="C144" s="102"/>
      <c r="D144" s="102"/>
      <c r="E144" s="37"/>
      <c r="F144" s="3"/>
      <c r="G144" s="455"/>
      <c r="H144" s="452"/>
      <c r="I144" s="452"/>
      <c r="J144" s="453"/>
    </row>
    <row r="145" spans="2:4" ht="15" customHeight="1" x14ac:dyDescent="0.2">
      <c r="B145" s="3"/>
      <c r="C145" s="3"/>
      <c r="D145" s="3"/>
    </row>
    <row r="146" spans="2:4" ht="15" customHeight="1" x14ac:dyDescent="0.2">
      <c r="B146" s="3"/>
      <c r="C146" s="3"/>
      <c r="D146" s="3"/>
    </row>
    <row r="147" spans="2:4" ht="15" customHeight="1" x14ac:dyDescent="0.2">
      <c r="B147" s="3"/>
      <c r="C147" s="3"/>
      <c r="D147" s="3"/>
    </row>
    <row r="148" spans="2:4" ht="15" customHeight="1" x14ac:dyDescent="0.2">
      <c r="B148" s="3"/>
      <c r="C148" s="3"/>
      <c r="D148" s="3"/>
    </row>
    <row r="149" spans="2:4" ht="15" customHeight="1" x14ac:dyDescent="0.2">
      <c r="B149" s="3"/>
      <c r="C149" s="3"/>
      <c r="D149" s="3"/>
    </row>
    <row r="150" spans="2:4" ht="15" customHeight="1" x14ac:dyDescent="0.2">
      <c r="B150" s="3"/>
      <c r="C150" s="3"/>
      <c r="D150" s="3"/>
    </row>
  </sheetData>
  <sheetProtection algorithmName="SHA-512" hashValue="JC29Rtclr0XcwFkGqFt3A+CmAVeW3ed+2xQrON8OqbnrvdaMHNGTY1PhjIqIBqGhQJj/Qxi1nJPCJoaRBrEwIA==" saltValue="KtdBDGb+YEEXB4lAwgzzxw==" spinCount="100000" sheet="1" objects="1" scenarios="1"/>
  <mergeCells count="54">
    <mergeCell ref="H26:I26"/>
    <mergeCell ref="H48:I48"/>
    <mergeCell ref="B130:I130"/>
    <mergeCell ref="H124:I124"/>
    <mergeCell ref="H125:I125"/>
    <mergeCell ref="H117:I117"/>
    <mergeCell ref="B127:I127"/>
    <mergeCell ref="B129:I129"/>
    <mergeCell ref="H126:I126"/>
    <mergeCell ref="B85:I85"/>
    <mergeCell ref="H123:I123"/>
    <mergeCell ref="B109:I109"/>
    <mergeCell ref="E111:J111"/>
    <mergeCell ref="H116:I116"/>
    <mergeCell ref="H121:I121"/>
    <mergeCell ref="H122:I122"/>
    <mergeCell ref="B43:I43"/>
    <mergeCell ref="E45:J45"/>
    <mergeCell ref="B51:I51"/>
    <mergeCell ref="E53:J53"/>
    <mergeCell ref="B131:I131"/>
    <mergeCell ref="E104:J104"/>
    <mergeCell ref="B70:I70"/>
    <mergeCell ref="E72:J72"/>
    <mergeCell ref="B81:I81"/>
    <mergeCell ref="E87:J87"/>
    <mergeCell ref="B89:I89"/>
    <mergeCell ref="E91:J91"/>
    <mergeCell ref="B96:I96"/>
    <mergeCell ref="E98:J98"/>
    <mergeCell ref="B102:I102"/>
    <mergeCell ref="E83:J83"/>
    <mergeCell ref="D2:J3"/>
    <mergeCell ref="E7:J7"/>
    <mergeCell ref="E8:I8"/>
    <mergeCell ref="E9:J9"/>
    <mergeCell ref="E10:J10"/>
    <mergeCell ref="D8:D10"/>
    <mergeCell ref="B140:J140"/>
    <mergeCell ref="B139:J139"/>
    <mergeCell ref="B138:J138"/>
    <mergeCell ref="B137:J137"/>
    <mergeCell ref="E15:J15"/>
    <mergeCell ref="H118:I118"/>
    <mergeCell ref="H119:I119"/>
    <mergeCell ref="H120:I120"/>
    <mergeCell ref="H67:I67"/>
    <mergeCell ref="H19:I19"/>
    <mergeCell ref="H25:I25"/>
    <mergeCell ref="B27:I27"/>
    <mergeCell ref="E29:J29"/>
    <mergeCell ref="B32:I32"/>
    <mergeCell ref="E34:J34"/>
    <mergeCell ref="H41:I41"/>
  </mergeCells>
  <pageMargins left="0.59055118110236227" right="0.51181102362204722" top="0.70866141732283472" bottom="0.55118110236220474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5"/>
  <sheetViews>
    <sheetView showGridLines="0" topLeftCell="A241" zoomScale="120" zoomScaleNormal="120" workbookViewId="0">
      <selection activeCell="B264" sqref="B258:E264"/>
    </sheetView>
  </sheetViews>
  <sheetFormatPr defaultColWidth="8.85546875" defaultRowHeight="14.25" x14ac:dyDescent="0.2"/>
  <cols>
    <col min="1" max="1" width="8.85546875" style="1"/>
    <col min="2" max="2" width="11.42578125" style="34" customWidth="1"/>
    <col min="3" max="3" width="101.140625" style="77" customWidth="1"/>
    <col min="4" max="4" width="7.28515625" style="78" bestFit="1" customWidth="1"/>
    <col min="5" max="5" width="39.140625" style="79" customWidth="1"/>
    <col min="6" max="6" width="8.85546875" style="19"/>
    <col min="7" max="16384" width="8.85546875" style="1"/>
  </cols>
  <sheetData>
    <row r="1" spans="2:7" ht="15" customHeight="1" thickBot="1" x14ac:dyDescent="0.25"/>
    <row r="2" spans="2:7" ht="15" customHeight="1" x14ac:dyDescent="0.2">
      <c r="B2" s="349" t="s">
        <v>49</v>
      </c>
      <c r="C2" s="350"/>
      <c r="D2" s="351"/>
      <c r="E2" s="469"/>
    </row>
    <row r="3" spans="2:7" ht="15" customHeight="1" x14ac:dyDescent="0.2">
      <c r="B3" s="352"/>
      <c r="C3" s="327"/>
      <c r="D3" s="353"/>
      <c r="E3" s="470"/>
    </row>
    <row r="4" spans="2:7" ht="15" customHeight="1" x14ac:dyDescent="0.2">
      <c r="B4" s="298" t="str">
        <f>ORÇAMENTO!D4</f>
        <v>SETOR</v>
      </c>
      <c r="C4" s="35" t="str">
        <f>ORÇAMENTO!E4</f>
        <v>SECRETARIA MUNICIPAL DE OBRAS</v>
      </c>
      <c r="D4" s="102"/>
      <c r="E4" s="470"/>
    </row>
    <row r="5" spans="2:7" ht="15" customHeight="1" x14ac:dyDescent="0.2">
      <c r="B5" s="298" t="str">
        <f>ORÇAMENTO!D5:D6</f>
        <v>OBJETO</v>
      </c>
      <c r="C5" s="2" t="s">
        <v>169</v>
      </c>
      <c r="D5" s="102"/>
      <c r="E5" s="470"/>
    </row>
    <row r="6" spans="2:7" ht="15" customHeight="1" x14ac:dyDescent="0.2">
      <c r="B6" s="298" t="str">
        <f>ORÇAMENTO!D6</f>
        <v>PROCESSO</v>
      </c>
      <c r="C6" s="36">
        <v>2023015268</v>
      </c>
      <c r="D6" s="102"/>
      <c r="E6" s="470"/>
    </row>
    <row r="7" spans="2:7" ht="15" customHeight="1" x14ac:dyDescent="0.2">
      <c r="B7" s="298" t="str">
        <f>ORÇAMENTO!D7</f>
        <v>ENDEREÇO</v>
      </c>
      <c r="C7" s="36" t="str">
        <f>ORÇAMENTO!E7</f>
        <v>ÁREA DE USO PÚBLICO SITUADA À RUA ALDEMAR FERRUGEM COM A AVENIDA NICOLAU ABRÃO</v>
      </c>
      <c r="D7" s="102"/>
      <c r="E7" s="470"/>
    </row>
    <row r="8" spans="2:7" ht="15" customHeight="1" x14ac:dyDescent="0.2">
      <c r="B8" s="354" t="str">
        <f>ORÇAMENTO!D8</f>
        <v>TABELAS</v>
      </c>
      <c r="C8" s="137" t="s">
        <v>195</v>
      </c>
      <c r="D8" s="137"/>
      <c r="E8" s="470"/>
      <c r="F8" s="137"/>
      <c r="G8" s="137"/>
    </row>
    <row r="9" spans="2:7" ht="15" customHeight="1" x14ac:dyDescent="0.2">
      <c r="B9" s="354"/>
      <c r="C9" s="37" t="str">
        <f>ORÇAMENTO!E9</f>
        <v>TABELA SINAPI PCI.817.01 - CUSTO DE COMPOSIÇÕES - SINTÉTICO - MARÇO/2023 - COM DESONERAÇÃO - DATA BASE: 13/04/2023</v>
      </c>
      <c r="D9" s="102"/>
      <c r="E9" s="471"/>
    </row>
    <row r="10" spans="2:7" ht="15" customHeight="1" x14ac:dyDescent="0.2">
      <c r="B10" s="354"/>
      <c r="C10" s="37" t="str">
        <f>ORÇAMENTO!E10</f>
        <v>TABELA DE TERRAPLENAGEM, PAVIMENTAÇÃO E OBRAS DE ARTE ESPECIAIS - T198 - MAR/23 - COM DESONERAÇÃO - DATA BASE: 01/03/2023</v>
      </c>
      <c r="D10" s="102"/>
      <c r="E10" s="470"/>
    </row>
    <row r="11" spans="2:7" ht="15" customHeight="1" thickBot="1" x14ac:dyDescent="0.25">
      <c r="B11" s="101" t="str">
        <f>ORÇAMENTO!D11</f>
        <v xml:space="preserve">DATA </v>
      </c>
      <c r="C11" s="38" t="str">
        <f>ORÇAMENTO!E11</f>
        <v>02 DE MAIO DE 2023</v>
      </c>
      <c r="D11" s="39"/>
      <c r="E11" s="472"/>
    </row>
    <row r="12" spans="2:7" ht="15" customHeight="1" thickBot="1" x14ac:dyDescent="0.25">
      <c r="B12" s="39"/>
      <c r="C12" s="40"/>
      <c r="D12" s="39"/>
      <c r="E12" s="39"/>
    </row>
    <row r="13" spans="2:7" ht="15" customHeight="1" thickBot="1" x14ac:dyDescent="0.25">
      <c r="B13" s="41">
        <v>1</v>
      </c>
      <c r="C13" s="42" t="s">
        <v>9</v>
      </c>
      <c r="D13" s="20"/>
      <c r="E13" s="20"/>
      <c r="F13" s="1"/>
    </row>
    <row r="14" spans="2:7" ht="15" customHeight="1" thickBot="1" x14ac:dyDescent="0.25">
      <c r="B14" s="43" t="s">
        <v>1</v>
      </c>
      <c r="C14" s="43" t="s">
        <v>41</v>
      </c>
      <c r="D14" s="43" t="s">
        <v>42</v>
      </c>
      <c r="E14" s="43" t="s">
        <v>43</v>
      </c>
      <c r="F14" s="1"/>
    </row>
    <row r="15" spans="2:7" ht="30" customHeight="1" x14ac:dyDescent="0.2">
      <c r="B15" s="44" t="str">
        <f>ORÇAMENTO!B16</f>
        <v>1.1</v>
      </c>
      <c r="C15" s="45" t="str">
        <f>ORÇAMENTO!E16</f>
        <v>PLACA DE OBRA PLOTADA EM CHAPA METÁLICA 26 , AFIXADA EM CAVALETES DE MADEIRA DE LEI (VIGOTAS 6X12CM) - PADRÃO GOINFRA</v>
      </c>
      <c r="D15" s="44" t="str">
        <f>ORÇAMENTO!G16</f>
        <v>m2</v>
      </c>
      <c r="E15" s="44" t="s">
        <v>68</v>
      </c>
      <c r="F15" s="1"/>
    </row>
    <row r="16" spans="2:7" ht="15" customHeight="1" x14ac:dyDescent="0.2">
      <c r="B16" s="11" t="s">
        <v>50</v>
      </c>
      <c r="C16" s="14" t="s">
        <v>127</v>
      </c>
      <c r="D16" s="11" t="s">
        <v>86</v>
      </c>
      <c r="E16" s="9">
        <v>1.5</v>
      </c>
      <c r="F16" s="1"/>
    </row>
    <row r="17" spans="2:6" ht="15" customHeight="1" x14ac:dyDescent="0.2">
      <c r="B17" s="11" t="s">
        <v>51</v>
      </c>
      <c r="C17" s="14" t="s">
        <v>97</v>
      </c>
      <c r="D17" s="11" t="s">
        <v>86</v>
      </c>
      <c r="E17" s="9">
        <v>2</v>
      </c>
      <c r="F17" s="1"/>
    </row>
    <row r="18" spans="2:6" ht="15" customHeight="1" thickBot="1" x14ac:dyDescent="0.25">
      <c r="B18" s="345" t="s">
        <v>130</v>
      </c>
      <c r="C18" s="346"/>
      <c r="D18" s="347"/>
      <c r="E18" s="46">
        <f>E17*E16</f>
        <v>3</v>
      </c>
      <c r="F18" s="1"/>
    </row>
    <row r="19" spans="2:6" ht="15" customHeight="1" x14ac:dyDescent="0.2">
      <c r="B19" s="44" t="str">
        <f>ORÇAMENTO!B17</f>
        <v>1.2</v>
      </c>
      <c r="C19" s="47" t="str">
        <f>ORÇAMENTO!E17</f>
        <v>RASPAGEM E LIMPEZA MANUAL DO TERRENO</v>
      </c>
      <c r="D19" s="44" t="str">
        <f>ORÇAMENTO!G17</f>
        <v>m2</v>
      </c>
      <c r="E19" s="44" t="s">
        <v>68</v>
      </c>
      <c r="F19" s="1"/>
    </row>
    <row r="20" spans="2:6" ht="15" customHeight="1" x14ac:dyDescent="0.2">
      <c r="B20" s="11"/>
      <c r="C20" s="14" t="s">
        <v>133</v>
      </c>
      <c r="D20" s="11" t="s">
        <v>25</v>
      </c>
      <c r="E20" s="9">
        <v>2150</v>
      </c>
      <c r="F20" s="1"/>
    </row>
    <row r="21" spans="2:6" ht="15" customHeight="1" x14ac:dyDescent="0.2">
      <c r="B21" s="11"/>
      <c r="C21" s="14" t="s">
        <v>225</v>
      </c>
      <c r="D21" s="11" t="s">
        <v>25</v>
      </c>
      <c r="E21" s="9">
        <v>3569</v>
      </c>
      <c r="F21" s="1"/>
    </row>
    <row r="22" spans="2:6" ht="15" customHeight="1" thickBot="1" x14ac:dyDescent="0.25">
      <c r="B22" s="345" t="s">
        <v>204</v>
      </c>
      <c r="C22" s="346"/>
      <c r="D22" s="347"/>
      <c r="E22" s="46">
        <f>SUM(E20:E21)</f>
        <v>5719</v>
      </c>
      <c r="F22" s="1"/>
    </row>
    <row r="23" spans="2:6" ht="30" customHeight="1" x14ac:dyDescent="0.2">
      <c r="B23" s="44" t="str">
        <f>ORÇAMENTO!B18</f>
        <v>1.3</v>
      </c>
      <c r="C23" s="47" t="str">
        <f>ORÇAMENTO!E18</f>
        <v>LOCAÇÃO DE PRAÇA, QUADRA, IMPLANTAÇÃO UTILIZANDO CAVALETE, INCLUSO PIQUETE COM TESTEMUNHA</v>
      </c>
      <c r="D23" s="48" t="str">
        <f>ORÇAMENTO!G18</f>
        <v xml:space="preserve">m2 </v>
      </c>
      <c r="E23" s="44" t="s">
        <v>68</v>
      </c>
      <c r="F23" s="1"/>
    </row>
    <row r="24" spans="2:6" ht="15" customHeight="1" x14ac:dyDescent="0.2">
      <c r="B24" s="11"/>
      <c r="C24" s="49" t="s">
        <v>69</v>
      </c>
      <c r="D24" s="15" t="s">
        <v>25</v>
      </c>
      <c r="E24" s="50">
        <f>E20</f>
        <v>2150</v>
      </c>
      <c r="F24" s="1"/>
    </row>
    <row r="25" spans="2:6" ht="15" customHeight="1" thickBot="1" x14ac:dyDescent="0.25">
      <c r="B25" s="345" t="s">
        <v>204</v>
      </c>
      <c r="C25" s="346"/>
      <c r="D25" s="347"/>
      <c r="E25" s="46">
        <f>E24</f>
        <v>2150</v>
      </c>
      <c r="F25" s="1"/>
    </row>
    <row r="26" spans="2:6" ht="30" customHeight="1" x14ac:dyDescent="0.2">
      <c r="B26" s="44" t="str">
        <f>ORÇAMENTO!B19</f>
        <v>1.4</v>
      </c>
      <c r="C26" s="47" t="str">
        <f>ORÇAMENTO!E19</f>
        <v>TELA PLASTICA LARANJA, TIPO TAPUME PARA SINALIZACAO, MALHA RETANGULAR, ROLO 1.20 X 50 M (L X C)</v>
      </c>
      <c r="D26" s="48" t="str">
        <f>ORÇAMENTO!G19</f>
        <v>m</v>
      </c>
      <c r="E26" s="44" t="s">
        <v>97</v>
      </c>
      <c r="F26" s="1"/>
    </row>
    <row r="27" spans="2:6" ht="15" customHeight="1" x14ac:dyDescent="0.2">
      <c r="B27" s="11"/>
      <c r="C27" s="49" t="s">
        <v>220</v>
      </c>
      <c r="D27" s="15" t="s">
        <v>86</v>
      </c>
      <c r="E27" s="50">
        <f>E252</f>
        <v>140.92000000000002</v>
      </c>
      <c r="F27" s="1"/>
    </row>
    <row r="28" spans="2:6" ht="15" customHeight="1" x14ac:dyDescent="0.2">
      <c r="B28" s="11"/>
      <c r="C28" s="49" t="s">
        <v>221</v>
      </c>
      <c r="D28" s="15" t="s">
        <v>86</v>
      </c>
      <c r="E28" s="50">
        <f>32*2</f>
        <v>64</v>
      </c>
      <c r="F28" s="1"/>
    </row>
    <row r="29" spans="2:6" ht="15" customHeight="1" thickBot="1" x14ac:dyDescent="0.25">
      <c r="B29" s="345" t="s">
        <v>204</v>
      </c>
      <c r="C29" s="346"/>
      <c r="D29" s="347"/>
      <c r="E29" s="46">
        <f>SUM(E27:E28)</f>
        <v>204.92000000000002</v>
      </c>
      <c r="F29" s="1"/>
    </row>
    <row r="30" spans="2:6" ht="15" customHeight="1" x14ac:dyDescent="0.2">
      <c r="B30" s="44" t="str">
        <f>ORÇAMENTO!B20</f>
        <v>1.5</v>
      </c>
      <c r="C30" s="47" t="str">
        <f>ORÇAMENTO!E20</f>
        <v>PONTALETE 3x3"</v>
      </c>
      <c r="D30" s="48" t="str">
        <f>ORÇAMENTO!G20</f>
        <v>m</v>
      </c>
      <c r="E30" s="44" t="s">
        <v>97</v>
      </c>
      <c r="F30" s="1"/>
    </row>
    <row r="31" spans="2:6" ht="15" customHeight="1" x14ac:dyDescent="0.2">
      <c r="B31" s="142" t="s">
        <v>50</v>
      </c>
      <c r="C31" s="143" t="s">
        <v>222</v>
      </c>
      <c r="D31" s="144" t="s">
        <v>86</v>
      </c>
      <c r="E31" s="144">
        <v>1.5</v>
      </c>
      <c r="F31" s="1"/>
    </row>
    <row r="32" spans="2:6" ht="15" customHeight="1" x14ac:dyDescent="0.2">
      <c r="B32" s="11" t="s">
        <v>51</v>
      </c>
      <c r="C32" s="49" t="s">
        <v>223</v>
      </c>
      <c r="D32" s="15" t="s">
        <v>28</v>
      </c>
      <c r="E32" s="50">
        <f>E29/2</f>
        <v>102.46000000000001</v>
      </c>
      <c r="F32" s="1"/>
    </row>
    <row r="33" spans="2:6" ht="15" customHeight="1" thickBot="1" x14ac:dyDescent="0.25">
      <c r="B33" s="345" t="s">
        <v>385</v>
      </c>
      <c r="C33" s="346"/>
      <c r="D33" s="347"/>
      <c r="E33" s="46">
        <f>E32*E31</f>
        <v>153.69</v>
      </c>
      <c r="F33" s="1"/>
    </row>
    <row r="34" spans="2:6" ht="15" customHeight="1" x14ac:dyDescent="0.2">
      <c r="B34" s="44" t="str">
        <f>ORÇAMENTO!B21</f>
        <v>1.6</v>
      </c>
      <c r="C34" s="47" t="str">
        <f>ORÇAMENTO!E21</f>
        <v xml:space="preserve">CONSUMO DE ÁGUA </v>
      </c>
      <c r="D34" s="48" t="str">
        <f>ORÇAMENTO!G21</f>
        <v xml:space="preserve">m3 </v>
      </c>
      <c r="E34" s="44" t="s">
        <v>70</v>
      </c>
      <c r="F34" s="1"/>
    </row>
    <row r="35" spans="2:6" ht="15" customHeight="1" x14ac:dyDescent="0.2">
      <c r="B35" s="11" t="s">
        <v>50</v>
      </c>
      <c r="C35" s="49" t="s">
        <v>69</v>
      </c>
      <c r="D35" s="15" t="s">
        <v>25</v>
      </c>
      <c r="E35" s="50">
        <f>E25</f>
        <v>2150</v>
      </c>
      <c r="F35" s="1"/>
    </row>
    <row r="36" spans="2:6" s="5" customFormat="1" ht="15" customHeight="1" x14ac:dyDescent="0.2">
      <c r="B36" s="18" t="s">
        <v>51</v>
      </c>
      <c r="C36" s="51" t="s">
        <v>230</v>
      </c>
      <c r="D36" s="30" t="s">
        <v>25</v>
      </c>
      <c r="E36" s="52">
        <f>ORÇAMENTO!N127/2009.76</f>
        <v>261.41019247813165</v>
      </c>
    </row>
    <row r="37" spans="2:6" ht="15" customHeight="1" x14ac:dyDescent="0.2">
      <c r="B37" s="11" t="s">
        <v>52</v>
      </c>
      <c r="C37" s="119" t="s">
        <v>151</v>
      </c>
      <c r="D37" s="15" t="s">
        <v>94</v>
      </c>
      <c r="E37" s="124">
        <v>0.46279999999999999</v>
      </c>
      <c r="F37" s="1"/>
    </row>
    <row r="38" spans="2:6" ht="15" customHeight="1" thickBot="1" x14ac:dyDescent="0.25">
      <c r="B38" s="345" t="s">
        <v>199</v>
      </c>
      <c r="C38" s="346"/>
      <c r="D38" s="347"/>
      <c r="E38" s="46">
        <f>E37*E36</f>
        <v>120.98063707887933</v>
      </c>
      <c r="F38" s="1"/>
    </row>
    <row r="39" spans="2:6" ht="15" customHeight="1" x14ac:dyDescent="0.2">
      <c r="B39" s="44" t="str">
        <f>ORÇAMENTO!B22</f>
        <v>1.7</v>
      </c>
      <c r="C39" s="47" t="str">
        <f>ORÇAMENTO!E22</f>
        <v xml:space="preserve">CONSUMO DE ENERGIA ELÉTRICA </v>
      </c>
      <c r="D39" s="48" t="str">
        <f>ORÇAMENTO!G22</f>
        <v xml:space="preserve">KWH </v>
      </c>
      <c r="E39" s="44" t="s">
        <v>70</v>
      </c>
      <c r="F39" s="1"/>
    </row>
    <row r="40" spans="2:6" ht="15" customHeight="1" x14ac:dyDescent="0.2">
      <c r="B40" s="11" t="s">
        <v>50</v>
      </c>
      <c r="C40" s="49" t="s">
        <v>69</v>
      </c>
      <c r="D40" s="15" t="s">
        <v>25</v>
      </c>
      <c r="E40" s="50">
        <f>E25</f>
        <v>2150</v>
      </c>
      <c r="F40" s="1"/>
    </row>
    <row r="41" spans="2:6" s="5" customFormat="1" ht="15" customHeight="1" x14ac:dyDescent="0.2">
      <c r="B41" s="18" t="s">
        <v>51</v>
      </c>
      <c r="C41" s="51" t="s">
        <v>230</v>
      </c>
      <c r="D41" s="30" t="s">
        <v>25</v>
      </c>
      <c r="E41" s="52">
        <f>E36</f>
        <v>261.41019247813165</v>
      </c>
    </row>
    <row r="42" spans="2:6" ht="15" customHeight="1" x14ac:dyDescent="0.2">
      <c r="B42" s="11" t="s">
        <v>52</v>
      </c>
      <c r="C42" s="119" t="s">
        <v>151</v>
      </c>
      <c r="D42" s="15" t="s">
        <v>95</v>
      </c>
      <c r="E42" s="124">
        <v>3.2951700000000002</v>
      </c>
      <c r="F42" s="1"/>
    </row>
    <row r="43" spans="2:6" ht="15" customHeight="1" thickBot="1" x14ac:dyDescent="0.25">
      <c r="B43" s="345" t="s">
        <v>199</v>
      </c>
      <c r="C43" s="346"/>
      <c r="D43" s="347"/>
      <c r="E43" s="46">
        <f>E42*E41</f>
        <v>861.39102394816507</v>
      </c>
      <c r="F43" s="1"/>
    </row>
    <row r="44" spans="2:6" ht="30" customHeight="1" x14ac:dyDescent="0.2">
      <c r="B44" s="44" t="str">
        <f>ORÇAMENTO!B23</f>
        <v>1.8</v>
      </c>
      <c r="C44" s="45" t="str">
        <f>ORÇAMENTO!E23</f>
        <v>LIGAÇÃO PROVISÓRIA DE ÁGUA (INCLUSO RETIRADA DO ESGOTO SANITÁRIO) - PD.
GOINFRA</v>
      </c>
      <c r="D44" s="44" t="str">
        <f>ORÇAMENTO!G124</f>
        <v>un</v>
      </c>
      <c r="E44" s="44" t="s">
        <v>70</v>
      </c>
      <c r="F44" s="1"/>
    </row>
    <row r="45" spans="2:6" ht="15" customHeight="1" x14ac:dyDescent="0.2">
      <c r="B45" s="11" t="s">
        <v>50</v>
      </c>
      <c r="C45" s="49" t="s">
        <v>227</v>
      </c>
      <c r="D45" s="15" t="s">
        <v>25</v>
      </c>
      <c r="E45" s="50">
        <v>3000</v>
      </c>
      <c r="F45" s="1"/>
    </row>
    <row r="46" spans="2:6" s="5" customFormat="1" ht="15" customHeight="1" x14ac:dyDescent="0.2">
      <c r="B46" s="18" t="s">
        <v>51</v>
      </c>
      <c r="C46" s="51" t="s">
        <v>230</v>
      </c>
      <c r="D46" s="30" t="s">
        <v>25</v>
      </c>
      <c r="E46" s="52">
        <f>E41</f>
        <v>261.41019247813165</v>
      </c>
    </row>
    <row r="47" spans="2:6" ht="15" customHeight="1" x14ac:dyDescent="0.2">
      <c r="B47" s="11" t="s">
        <v>52</v>
      </c>
      <c r="C47" s="119" t="s">
        <v>228</v>
      </c>
      <c r="D47" s="15" t="s">
        <v>96</v>
      </c>
      <c r="E47" s="59">
        <f>(E46*100)/E45</f>
        <v>8.7136730826043891</v>
      </c>
      <c r="F47" s="1"/>
    </row>
    <row r="48" spans="2:6" ht="15" customHeight="1" thickBot="1" x14ac:dyDescent="0.25">
      <c r="B48" s="345" t="s">
        <v>229</v>
      </c>
      <c r="C48" s="346"/>
      <c r="D48" s="347"/>
      <c r="E48" s="46">
        <f>E47/100</f>
        <v>8.7136730826043896E-2</v>
      </c>
      <c r="F48" s="1"/>
    </row>
    <row r="49" spans="2:6" ht="15" customHeight="1" x14ac:dyDescent="0.2">
      <c r="B49" s="44" t="str">
        <f>ORÇAMENTO!B24</f>
        <v>1.9</v>
      </c>
      <c r="C49" s="47" t="str">
        <f>ORÇAMENTO!E24</f>
        <v>LIGAÇÃO PROVISÓRIA LUZ E FORÇA - PD. GOINFRA</v>
      </c>
      <c r="D49" s="48" t="str">
        <f>ORÇAMENTO!G125</f>
        <v>m</v>
      </c>
      <c r="E49" s="44" t="s">
        <v>70</v>
      </c>
      <c r="F49" s="1"/>
    </row>
    <row r="50" spans="2:6" ht="15" customHeight="1" x14ac:dyDescent="0.2">
      <c r="B50" s="11" t="s">
        <v>50</v>
      </c>
      <c r="C50" s="49" t="s">
        <v>227</v>
      </c>
      <c r="D50" s="15" t="s">
        <v>25</v>
      </c>
      <c r="E50" s="50">
        <v>3000</v>
      </c>
      <c r="F50" s="1"/>
    </row>
    <row r="51" spans="2:6" s="5" customFormat="1" ht="15" customHeight="1" x14ac:dyDescent="0.2">
      <c r="B51" s="18" t="s">
        <v>51</v>
      </c>
      <c r="C51" s="51" t="s">
        <v>231</v>
      </c>
      <c r="D51" s="30" t="s">
        <v>25</v>
      </c>
      <c r="E51" s="52">
        <f>E46</f>
        <v>261.41019247813165</v>
      </c>
    </row>
    <row r="52" spans="2:6" ht="15" customHeight="1" x14ac:dyDescent="0.2">
      <c r="B52" s="11" t="s">
        <v>52</v>
      </c>
      <c r="C52" s="119" t="s">
        <v>228</v>
      </c>
      <c r="D52" s="15" t="s">
        <v>96</v>
      </c>
      <c r="E52" s="59">
        <f>(E51*100)/E50</f>
        <v>8.7136730826043891</v>
      </c>
      <c r="F52" s="1"/>
    </row>
    <row r="53" spans="2:6" ht="15" customHeight="1" thickBot="1" x14ac:dyDescent="0.25">
      <c r="B53" s="345" t="s">
        <v>229</v>
      </c>
      <c r="C53" s="346"/>
      <c r="D53" s="347"/>
      <c r="E53" s="46">
        <f>E52/100</f>
        <v>8.7136730826043896E-2</v>
      </c>
      <c r="F53" s="1"/>
    </row>
    <row r="54" spans="2:6" ht="30" customHeight="1" x14ac:dyDescent="0.2">
      <c r="B54" s="44" t="str">
        <f>ORÇAMENTO!B25</f>
        <v>1.10</v>
      </c>
      <c r="C54" s="45" t="str">
        <f>ORÇAMENTO!E25</f>
        <v>LOCAÇÃO DE CONTAINER 2,30 X 6,00 M, ALT. 2,50 M, COM 1 SANITÁRIO, PARA ESCRITÓRIO, COMPLETO, SEM DIVISÓRIAS INTERNAS</v>
      </c>
      <c r="D54" s="44" t="str">
        <f>ORÇAMENTO!G126</f>
        <v>m3</v>
      </c>
      <c r="E54" s="44" t="s">
        <v>23</v>
      </c>
      <c r="F54" s="1"/>
    </row>
    <row r="55" spans="2:6" ht="15" customHeight="1" x14ac:dyDescent="0.2">
      <c r="B55" s="11"/>
      <c r="C55" s="49" t="s">
        <v>202</v>
      </c>
      <c r="D55" s="15" t="s">
        <v>131</v>
      </c>
      <c r="E55" s="50">
        <v>3</v>
      </c>
      <c r="F55" s="1"/>
    </row>
    <row r="56" spans="2:6" ht="15" customHeight="1" thickBot="1" x14ac:dyDescent="0.25">
      <c r="B56" s="345" t="s">
        <v>204</v>
      </c>
      <c r="C56" s="346"/>
      <c r="D56" s="347"/>
      <c r="E56" s="46">
        <f>E55</f>
        <v>3</v>
      </c>
      <c r="F56" s="1"/>
    </row>
    <row r="57" spans="2:6" ht="30" customHeight="1" x14ac:dyDescent="0.2">
      <c r="B57" s="44" t="str">
        <f>ORÇAMENTO!B26</f>
        <v>1.11</v>
      </c>
      <c r="C57" s="45" t="str">
        <f>ORÇAMENTO!E26</f>
        <v>LOCACAO DE CONTAINER 2,30 X 6,00 M, ALT. 2,50 M, PARA ESCRITORIO, SEM DIVISORIAS INTERNAS E SEM SANITARIO (NÃO INCLUI MOBILIZACAO/ DESMOBILIZACAO)</v>
      </c>
      <c r="D57" s="44" t="str">
        <f>ORÇAMENTO!G26</f>
        <v xml:space="preserve">MES </v>
      </c>
      <c r="E57" s="44" t="s">
        <v>23</v>
      </c>
      <c r="F57" s="1"/>
    </row>
    <row r="58" spans="2:6" ht="15" customHeight="1" x14ac:dyDescent="0.2">
      <c r="B58" s="11"/>
      <c r="C58" s="49" t="s">
        <v>203</v>
      </c>
      <c r="D58" s="15" t="s">
        <v>131</v>
      </c>
      <c r="E58" s="50">
        <v>3</v>
      </c>
      <c r="F58" s="1"/>
    </row>
    <row r="59" spans="2:6" ht="15" customHeight="1" thickBot="1" x14ac:dyDescent="0.25">
      <c r="B59" s="345" t="s">
        <v>204</v>
      </c>
      <c r="C59" s="346"/>
      <c r="D59" s="347"/>
      <c r="E59" s="46">
        <f>E58</f>
        <v>3</v>
      </c>
      <c r="F59" s="1"/>
    </row>
    <row r="60" spans="2:6" ht="15" customHeight="1" thickBot="1" x14ac:dyDescent="0.25">
      <c r="B60" s="41">
        <f>ORÇAMENTO!B29</f>
        <v>2</v>
      </c>
      <c r="C60" s="42" t="str">
        <f>ORÇAMENTO!E29</f>
        <v>TRANSPORTES</v>
      </c>
      <c r="D60" s="20"/>
      <c r="E60" s="20"/>
      <c r="F60" s="1"/>
    </row>
    <row r="61" spans="2:6" ht="15" customHeight="1" thickBot="1" x14ac:dyDescent="0.25">
      <c r="B61" s="43" t="s">
        <v>1</v>
      </c>
      <c r="C61" s="43" t="s">
        <v>41</v>
      </c>
      <c r="D61" s="43" t="s">
        <v>42</v>
      </c>
      <c r="E61" s="43" t="s">
        <v>43</v>
      </c>
      <c r="F61" s="1"/>
    </row>
    <row r="62" spans="2:6" ht="15" customHeight="1" x14ac:dyDescent="0.2">
      <c r="B62" s="138" t="str">
        <f>ORÇAMENTO!B30</f>
        <v>2.1</v>
      </c>
      <c r="C62" s="140" t="str">
        <f>ORÇAMENTO!E30</f>
        <v>TRANSPORTE DE ENTULHO EM CAMINHÃO SEM CARGA</v>
      </c>
      <c r="D62" s="138" t="str">
        <f>ORÇAMENTO!G30</f>
        <v>m3</v>
      </c>
      <c r="E62" s="139" t="s">
        <v>73</v>
      </c>
      <c r="F62" s="1"/>
    </row>
    <row r="63" spans="2:6" ht="15" customHeight="1" x14ac:dyDescent="0.2">
      <c r="B63" s="56"/>
      <c r="C63" s="49" t="s">
        <v>74</v>
      </c>
      <c r="D63" s="15" t="s">
        <v>24</v>
      </c>
      <c r="E63" s="50">
        <f>E22*0.03</f>
        <v>171.57</v>
      </c>
      <c r="F63" s="1"/>
    </row>
    <row r="64" spans="2:6" ht="15" customHeight="1" thickBot="1" x14ac:dyDescent="0.25">
      <c r="B64" s="345" t="s">
        <v>58</v>
      </c>
      <c r="C64" s="346"/>
      <c r="D64" s="347"/>
      <c r="E64" s="46">
        <f>E63</f>
        <v>171.57</v>
      </c>
      <c r="F64" s="1"/>
    </row>
    <row r="65" spans="2:6" ht="15" customHeight="1" x14ac:dyDescent="0.2">
      <c r="B65" s="138" t="str">
        <f>ORÇAMENTO!B31</f>
        <v>2.2</v>
      </c>
      <c r="C65" s="140" t="str">
        <f>ORÇAMENTO!E31</f>
        <v>TRANSPORTE DE ENTULHO EM CAÇAMBA ESTACIONÁRIA INCLUSO A CARGA MANUAL</v>
      </c>
      <c r="D65" s="189" t="str">
        <f>ORÇAMENTO!G31</f>
        <v>m3</v>
      </c>
      <c r="E65" s="55" t="s">
        <v>73</v>
      </c>
      <c r="F65" s="1"/>
    </row>
    <row r="66" spans="2:6" ht="15" customHeight="1" x14ac:dyDescent="0.2">
      <c r="B66" s="56" t="s">
        <v>50</v>
      </c>
      <c r="C66" s="49" t="s">
        <v>69</v>
      </c>
      <c r="D66" s="15" t="s">
        <v>24</v>
      </c>
      <c r="E66" s="50">
        <f>E25</f>
        <v>2150</v>
      </c>
      <c r="F66" s="1"/>
    </row>
    <row r="67" spans="2:6" ht="15" customHeight="1" x14ac:dyDescent="0.2">
      <c r="B67" s="11" t="s">
        <v>51</v>
      </c>
      <c r="C67" s="49" t="s">
        <v>75</v>
      </c>
      <c r="D67" s="58" t="s">
        <v>96</v>
      </c>
      <c r="E67" s="59">
        <v>5</v>
      </c>
      <c r="F67" s="1"/>
    </row>
    <row r="68" spans="2:6" ht="15" customHeight="1" thickBot="1" x14ac:dyDescent="0.25">
      <c r="B68" s="345" t="s">
        <v>76</v>
      </c>
      <c r="C68" s="346"/>
      <c r="D68" s="347"/>
      <c r="E68" s="46">
        <f>E66*0.05</f>
        <v>107.5</v>
      </c>
      <c r="F68" s="1"/>
    </row>
    <row r="69" spans="2:6" ht="15" customHeight="1" thickBot="1" x14ac:dyDescent="0.25">
      <c r="B69" s="41">
        <f>ORÇAMENTO!B34</f>
        <v>3</v>
      </c>
      <c r="C69" s="42" t="str">
        <f>ORÇAMENTO!E34</f>
        <v>SERVICO EM TERRA</v>
      </c>
      <c r="D69" s="20"/>
      <c r="E69" s="20"/>
      <c r="F69" s="1"/>
    </row>
    <row r="70" spans="2:6" ht="15" customHeight="1" thickBot="1" x14ac:dyDescent="0.25">
      <c r="B70" s="43" t="s">
        <v>1</v>
      </c>
      <c r="C70" s="43" t="s">
        <v>41</v>
      </c>
      <c r="D70" s="43" t="s">
        <v>42</v>
      </c>
      <c r="E70" s="43" t="s">
        <v>43</v>
      </c>
      <c r="F70" s="1"/>
    </row>
    <row r="71" spans="2:6" s="61" customFormat="1" ht="15" customHeight="1" x14ac:dyDescent="0.2">
      <c r="B71" s="53" t="str">
        <f>ORÇAMENTO!B35</f>
        <v>3.1</v>
      </c>
      <c r="C71" s="54" t="str">
        <f>ORÇAMENTO!E35</f>
        <v xml:space="preserve">APILOAMENTO MECÂNICO </v>
      </c>
      <c r="D71" s="57" t="str">
        <f>ORÇAMENTO!G35</f>
        <v>m2</v>
      </c>
      <c r="E71" s="60" t="s">
        <v>68</v>
      </c>
    </row>
    <row r="72" spans="2:6" s="5" customFormat="1" ht="15" customHeight="1" x14ac:dyDescent="0.2">
      <c r="B72" s="18"/>
      <c r="C72" s="51" t="s">
        <v>167</v>
      </c>
      <c r="D72" s="52" t="s">
        <v>25</v>
      </c>
      <c r="E72" s="52">
        <f>E168+E174</f>
        <v>789.68</v>
      </c>
    </row>
    <row r="73" spans="2:6" s="5" customFormat="1" ht="15" customHeight="1" x14ac:dyDescent="0.2">
      <c r="B73" s="18"/>
      <c r="C73" s="51" t="s">
        <v>233</v>
      </c>
      <c r="D73" s="52" t="s">
        <v>25</v>
      </c>
      <c r="E73" s="52">
        <v>50</v>
      </c>
    </row>
    <row r="74" spans="2:6" ht="15" customHeight="1" thickBot="1" x14ac:dyDescent="0.25">
      <c r="B74" s="345" t="s">
        <v>58</v>
      </c>
      <c r="C74" s="346"/>
      <c r="D74" s="347"/>
      <c r="E74" s="46">
        <f>SUM(E72:E73)</f>
        <v>839.68</v>
      </c>
      <c r="F74" s="1"/>
    </row>
    <row r="75" spans="2:6" ht="15" customHeight="1" x14ac:dyDescent="0.2">
      <c r="B75" s="53" t="str">
        <f>ORÇAMENTO!B36</f>
        <v>3.2</v>
      </c>
      <c r="C75" s="54" t="str">
        <f>ORÇAMENTO!E36</f>
        <v>REGULARIZAÇÃO DO TERRENO SEM APILOAMENTO COM TRANSPORTE MANUAL DA TERRA ESCAVADA</v>
      </c>
      <c r="D75" s="57" t="str">
        <f>ORÇAMENTO!G36</f>
        <v>m2</v>
      </c>
      <c r="E75" s="55" t="s">
        <v>68</v>
      </c>
      <c r="F75" s="1"/>
    </row>
    <row r="76" spans="2:6" ht="15" customHeight="1" x14ac:dyDescent="0.2">
      <c r="B76" s="11"/>
      <c r="C76" s="49" t="s">
        <v>132</v>
      </c>
      <c r="D76" s="15" t="s">
        <v>10</v>
      </c>
      <c r="E76" s="50">
        <f>E20</f>
        <v>2150</v>
      </c>
      <c r="F76" s="1"/>
    </row>
    <row r="77" spans="2:6" ht="15" customHeight="1" thickBot="1" x14ac:dyDescent="0.25">
      <c r="B77" s="345" t="s">
        <v>58</v>
      </c>
      <c r="C77" s="346"/>
      <c r="D77" s="347"/>
      <c r="E77" s="46">
        <f>E76</f>
        <v>2150</v>
      </c>
      <c r="F77" s="1"/>
    </row>
    <row r="78" spans="2:6" ht="15" customHeight="1" x14ac:dyDescent="0.2">
      <c r="B78" s="53" t="str">
        <f>ORÇAMENTO!B37</f>
        <v>3.3</v>
      </c>
      <c r="C78" s="54" t="str">
        <f>ORÇAMENTO!E37</f>
        <v>ESCAVACAO MECANICA</v>
      </c>
      <c r="D78" s="57" t="str">
        <f>ORÇAMENTO!G37</f>
        <v>m3</v>
      </c>
      <c r="E78" s="55" t="s">
        <v>73</v>
      </c>
      <c r="F78" s="1"/>
    </row>
    <row r="79" spans="2:6" ht="15" customHeight="1" x14ac:dyDescent="0.2">
      <c r="B79" s="11"/>
      <c r="C79" s="49" t="s">
        <v>246</v>
      </c>
      <c r="D79" s="15" t="s">
        <v>24</v>
      </c>
      <c r="E79" s="50">
        <f>SUM(E94:E96)</f>
        <v>1087.473</v>
      </c>
      <c r="F79" s="1"/>
    </row>
    <row r="80" spans="2:6" ht="15" customHeight="1" x14ac:dyDescent="0.2">
      <c r="B80" s="56"/>
      <c r="C80" s="49" t="s">
        <v>107</v>
      </c>
      <c r="D80" s="15" t="s">
        <v>96</v>
      </c>
      <c r="E80" s="50">
        <v>20</v>
      </c>
      <c r="F80" s="1"/>
    </row>
    <row r="81" spans="2:6" ht="15" customHeight="1" thickBot="1" x14ac:dyDescent="0.25">
      <c r="B81" s="345" t="s">
        <v>58</v>
      </c>
      <c r="C81" s="346"/>
      <c r="D81" s="347"/>
      <c r="E81" s="46">
        <f>E79*0.2</f>
        <v>217.49459999999999</v>
      </c>
      <c r="F81" s="1"/>
    </row>
    <row r="82" spans="2:6" ht="15" customHeight="1" x14ac:dyDescent="0.2">
      <c r="B82" s="53" t="str">
        <f>ORÇAMENTO!B38</f>
        <v>3.4</v>
      </c>
      <c r="C82" s="54" t="str">
        <f>ORÇAMENTO!E38</f>
        <v xml:space="preserve">CARGA MECANIZADA </v>
      </c>
      <c r="D82" s="57" t="str">
        <f>ORÇAMENTO!G38</f>
        <v>m3</v>
      </c>
      <c r="E82" s="55" t="s">
        <v>105</v>
      </c>
      <c r="F82" s="1"/>
    </row>
    <row r="83" spans="2:6" ht="15" customHeight="1" x14ac:dyDescent="0.2">
      <c r="B83" s="11"/>
      <c r="C83" s="49" t="s">
        <v>246</v>
      </c>
      <c r="D83" s="15" t="s">
        <v>24</v>
      </c>
      <c r="E83" s="50">
        <f>SUM(E94:E96)</f>
        <v>1087.473</v>
      </c>
      <c r="F83" s="1"/>
    </row>
    <row r="84" spans="2:6" ht="15" customHeight="1" x14ac:dyDescent="0.2">
      <c r="B84" s="56"/>
      <c r="C84" s="49" t="s">
        <v>107</v>
      </c>
      <c r="D84" s="15" t="s">
        <v>96</v>
      </c>
      <c r="E84" s="50">
        <v>20</v>
      </c>
      <c r="F84" s="1"/>
    </row>
    <row r="85" spans="2:6" ht="15" customHeight="1" thickBot="1" x14ac:dyDescent="0.25">
      <c r="B85" s="345" t="s">
        <v>58</v>
      </c>
      <c r="C85" s="346"/>
      <c r="D85" s="347"/>
      <c r="E85" s="46">
        <f>E83*0.2</f>
        <v>217.49459999999999</v>
      </c>
      <c r="F85" s="1"/>
    </row>
    <row r="86" spans="2:6" ht="15" customHeight="1" x14ac:dyDescent="0.2">
      <c r="B86" s="53" t="str">
        <f>ORÇAMENTO!B39</f>
        <v>3.5</v>
      </c>
      <c r="C86" s="54" t="str">
        <f>ORÇAMENTO!E39</f>
        <v>TRANSPORTE DE MATERIAL ESCAVADO M3.KM</v>
      </c>
      <c r="D86" s="57" t="str">
        <f>ORÇAMENTO!G39</f>
        <v>m3km</v>
      </c>
      <c r="E86" s="55" t="s">
        <v>68</v>
      </c>
      <c r="F86" s="1"/>
    </row>
    <row r="87" spans="2:6" ht="15" customHeight="1" x14ac:dyDescent="0.2">
      <c r="B87" s="11"/>
      <c r="C87" s="49" t="s">
        <v>249</v>
      </c>
      <c r="D87" s="15" t="s">
        <v>108</v>
      </c>
      <c r="E87" s="50">
        <f>E85</f>
        <v>217.49459999999999</v>
      </c>
      <c r="F87" s="1"/>
    </row>
    <row r="88" spans="2:6" ht="15" customHeight="1" x14ac:dyDescent="0.2">
      <c r="B88" s="11"/>
      <c r="C88" s="49" t="s">
        <v>247</v>
      </c>
      <c r="D88" s="15" t="s">
        <v>248</v>
      </c>
      <c r="E88" s="50">
        <v>15</v>
      </c>
      <c r="F88" s="1"/>
    </row>
    <row r="89" spans="2:6" ht="15" customHeight="1" thickBot="1" x14ac:dyDescent="0.25">
      <c r="B89" s="345" t="s">
        <v>58</v>
      </c>
      <c r="C89" s="346"/>
      <c r="D89" s="347"/>
      <c r="E89" s="46">
        <f>E87*E88</f>
        <v>3262.4189999999999</v>
      </c>
      <c r="F89" s="1"/>
    </row>
    <row r="90" spans="2:6" ht="15" customHeight="1" x14ac:dyDescent="0.2">
      <c r="B90" s="53" t="str">
        <f>ORÇAMENTO!B40</f>
        <v>3.6</v>
      </c>
      <c r="C90" s="54" t="str">
        <f>ORÇAMENTO!E40</f>
        <v>COMPACTAÇÃO MECÂNICA SEM CONTROLE LABORATÓRIO</v>
      </c>
      <c r="D90" s="57" t="str">
        <f>ORÇAMENTO!G40</f>
        <v>m3</v>
      </c>
      <c r="E90" s="55" t="s">
        <v>73</v>
      </c>
      <c r="F90" s="1"/>
    </row>
    <row r="91" spans="2:6" ht="15" customHeight="1" x14ac:dyDescent="0.2">
      <c r="B91" s="11"/>
      <c r="C91" s="49" t="s">
        <v>239</v>
      </c>
      <c r="D91" s="15" t="s">
        <v>108</v>
      </c>
      <c r="E91" s="50">
        <f>E98</f>
        <v>1304.9675999999999</v>
      </c>
      <c r="F91" s="1"/>
    </row>
    <row r="92" spans="2:6" ht="15" customHeight="1" thickBot="1" x14ac:dyDescent="0.25">
      <c r="B92" s="345" t="s">
        <v>58</v>
      </c>
      <c r="C92" s="346"/>
      <c r="D92" s="347"/>
      <c r="E92" s="46">
        <f>E91</f>
        <v>1304.9675999999999</v>
      </c>
      <c r="F92" s="1"/>
    </row>
    <row r="93" spans="2:6" ht="15" customHeight="1" x14ac:dyDescent="0.2">
      <c r="B93" s="53" t="str">
        <f>ORÇAMENTO!B41</f>
        <v>3.7</v>
      </c>
      <c r="C93" s="54" t="str">
        <f>ORÇAMENTO!E41</f>
        <v xml:space="preserve">ARGILA OU BARRO PARA ATERRO/REATERRO (COM TRANSPORTE ATE 10 KM) </v>
      </c>
      <c r="D93" s="57" t="str">
        <f>ORÇAMENTO!G41</f>
        <v>m3</v>
      </c>
      <c r="E93" s="55" t="s">
        <v>105</v>
      </c>
      <c r="F93" s="1"/>
    </row>
    <row r="94" spans="2:6" ht="15" customHeight="1" x14ac:dyDescent="0.2">
      <c r="B94" s="11"/>
      <c r="C94" s="49" t="s">
        <v>237</v>
      </c>
      <c r="D94" s="15" t="s">
        <v>24</v>
      </c>
      <c r="E94" s="50">
        <f>(E168+E170)*0.1</f>
        <v>78.968000000000004</v>
      </c>
      <c r="F94" s="1"/>
    </row>
    <row r="95" spans="2:6" ht="15" customHeight="1" x14ac:dyDescent="0.2">
      <c r="B95" s="56"/>
      <c r="C95" s="49" t="s">
        <v>236</v>
      </c>
      <c r="D95" s="15" t="s">
        <v>108</v>
      </c>
      <c r="E95" s="50">
        <f>970.1*0.05</f>
        <v>48.505000000000003</v>
      </c>
      <c r="F95" s="1"/>
    </row>
    <row r="96" spans="2:6" ht="15" customHeight="1" x14ac:dyDescent="0.2">
      <c r="B96" s="56"/>
      <c r="C96" s="49" t="s">
        <v>238</v>
      </c>
      <c r="D96" s="15" t="s">
        <v>108</v>
      </c>
      <c r="E96" s="50">
        <f>80*12</f>
        <v>960</v>
      </c>
      <c r="F96" s="1"/>
    </row>
    <row r="97" spans="2:6" ht="15" customHeight="1" x14ac:dyDescent="0.2">
      <c r="B97" s="56"/>
      <c r="C97" s="49" t="s">
        <v>107</v>
      </c>
      <c r="D97" s="15" t="s">
        <v>96</v>
      </c>
      <c r="E97" s="50">
        <v>0.2</v>
      </c>
      <c r="F97" s="1"/>
    </row>
    <row r="98" spans="2:6" ht="15" customHeight="1" thickBot="1" x14ac:dyDescent="0.25">
      <c r="B98" s="345" t="s">
        <v>58</v>
      </c>
      <c r="C98" s="346"/>
      <c r="D98" s="347"/>
      <c r="E98" s="46">
        <f>SUM(E94:E96)*1.2</f>
        <v>1304.9675999999999</v>
      </c>
      <c r="F98" s="1"/>
    </row>
    <row r="99" spans="2:6" ht="15" customHeight="1" x14ac:dyDescent="0.2">
      <c r="B99" s="53" t="str">
        <f>ORÇAMENTO!B42</f>
        <v>3.8</v>
      </c>
      <c r="C99" s="54" t="str">
        <f>ORÇAMENTO!E42</f>
        <v>INDENIZAÇÃO DE JAZIDA</v>
      </c>
      <c r="D99" s="57" t="str">
        <f>ORÇAMENTO!G42</f>
        <v>m3</v>
      </c>
      <c r="E99" s="55" t="s">
        <v>73</v>
      </c>
      <c r="F99" s="1"/>
    </row>
    <row r="100" spans="2:6" ht="15" customHeight="1" x14ac:dyDescent="0.2">
      <c r="B100" s="11"/>
      <c r="C100" s="49" t="s">
        <v>261</v>
      </c>
      <c r="D100" s="15" t="s">
        <v>108</v>
      </c>
      <c r="E100" s="50">
        <f>E98</f>
        <v>1304.9675999999999</v>
      </c>
      <c r="F100" s="1"/>
    </row>
    <row r="101" spans="2:6" ht="15" customHeight="1" thickBot="1" x14ac:dyDescent="0.25">
      <c r="B101" s="345" t="s">
        <v>58</v>
      </c>
      <c r="C101" s="346"/>
      <c r="D101" s="347"/>
      <c r="E101" s="46">
        <f>E100</f>
        <v>1304.9675999999999</v>
      </c>
      <c r="F101" s="1"/>
    </row>
    <row r="102" spans="2:6" ht="15" customHeight="1" thickBot="1" x14ac:dyDescent="0.25">
      <c r="B102" s="41">
        <f>ORÇAMENTO!B45</f>
        <v>4</v>
      </c>
      <c r="C102" s="42" t="str">
        <f>ORÇAMENTO!E45</f>
        <v>FUNDAÇÕES E SONDAGENS</v>
      </c>
      <c r="D102" s="20"/>
      <c r="E102" s="20"/>
      <c r="F102" s="1"/>
    </row>
    <row r="103" spans="2:6" ht="15" customHeight="1" thickBot="1" x14ac:dyDescent="0.25">
      <c r="B103" s="43" t="s">
        <v>1</v>
      </c>
      <c r="C103" s="43" t="s">
        <v>41</v>
      </c>
      <c r="D103" s="43" t="s">
        <v>42</v>
      </c>
      <c r="E103" s="43" t="s">
        <v>43</v>
      </c>
      <c r="F103" s="1"/>
    </row>
    <row r="104" spans="2:6" s="61" customFormat="1" ht="15" customHeight="1" x14ac:dyDescent="0.2">
      <c r="B104" s="53" t="str">
        <f>ORÇAMENTO!B46</f>
        <v>4.1</v>
      </c>
      <c r="C104" s="54" t="str">
        <f>ORÇAMENTO!E46</f>
        <v xml:space="preserve">ESTACA A TRADO DIAM.30 CM SEM FERRO </v>
      </c>
      <c r="D104" s="57" t="str">
        <f>ORÇAMENTO!G46</f>
        <v>m</v>
      </c>
      <c r="E104" s="60" t="s">
        <v>97</v>
      </c>
    </row>
    <row r="105" spans="2:6" s="5" customFormat="1" ht="15" customHeight="1" x14ac:dyDescent="0.2">
      <c r="B105" s="18" t="s">
        <v>50</v>
      </c>
      <c r="C105" s="51" t="s">
        <v>322</v>
      </c>
      <c r="D105" s="52" t="s">
        <v>28</v>
      </c>
      <c r="E105" s="52">
        <v>10</v>
      </c>
    </row>
    <row r="106" spans="2:6" s="5" customFormat="1" ht="15" customHeight="1" x14ac:dyDescent="0.2">
      <c r="B106" s="18" t="s">
        <v>51</v>
      </c>
      <c r="C106" s="51" t="s">
        <v>315</v>
      </c>
      <c r="D106" s="52" t="s">
        <v>86</v>
      </c>
      <c r="E106" s="52">
        <v>4</v>
      </c>
    </row>
    <row r="107" spans="2:6" ht="15" customHeight="1" thickBot="1" x14ac:dyDescent="0.25">
      <c r="B107" s="345" t="s">
        <v>130</v>
      </c>
      <c r="C107" s="346"/>
      <c r="D107" s="347"/>
      <c r="E107" s="46">
        <f>E105*E106</f>
        <v>40</v>
      </c>
      <c r="F107" s="1"/>
    </row>
    <row r="108" spans="2:6" s="61" customFormat="1" ht="15" customHeight="1" x14ac:dyDescent="0.2">
      <c r="B108" s="53" t="str">
        <f>ORÇAMENTO!B47</f>
        <v>4.2</v>
      </c>
      <c r="C108" s="54" t="str">
        <f>ORÇAMENTO!E47</f>
        <v>ACO CA-50A - 10,0 MM (3/8") - (OBRAS CIVIS)</v>
      </c>
      <c r="D108" s="57" t="str">
        <f>ORÇAMENTO!G47</f>
        <v>Kg</v>
      </c>
      <c r="E108" s="60" t="s">
        <v>321</v>
      </c>
    </row>
    <row r="109" spans="2:6" s="5" customFormat="1" ht="15" customHeight="1" x14ac:dyDescent="0.2">
      <c r="B109" s="18"/>
      <c r="C109" s="51" t="s">
        <v>322</v>
      </c>
      <c r="D109" s="52" t="s">
        <v>86</v>
      </c>
      <c r="E109" s="52">
        <f>(2.3*5)*E105</f>
        <v>115</v>
      </c>
    </row>
    <row r="110" spans="2:6" s="5" customFormat="1" ht="15" customHeight="1" x14ac:dyDescent="0.2">
      <c r="B110" s="18"/>
      <c r="C110" s="51" t="s">
        <v>323</v>
      </c>
      <c r="D110" s="52" t="s">
        <v>324</v>
      </c>
      <c r="E110" s="153">
        <v>0.61699999999999999</v>
      </c>
    </row>
    <row r="111" spans="2:6" ht="15" customHeight="1" thickBot="1" x14ac:dyDescent="0.25">
      <c r="B111" s="345" t="s">
        <v>58</v>
      </c>
      <c r="C111" s="346"/>
      <c r="D111" s="347"/>
      <c r="E111" s="46">
        <f>SUM(E109:E110)</f>
        <v>115.617</v>
      </c>
      <c r="F111" s="1"/>
    </row>
    <row r="112" spans="2:6" s="61" customFormat="1" ht="15" customHeight="1" x14ac:dyDescent="0.2">
      <c r="B112" s="53" t="str">
        <f>ORÇAMENTO!B48</f>
        <v>4.3</v>
      </c>
      <c r="C112" s="54" t="str">
        <f>ORÇAMENTO!E48</f>
        <v>ACO CA-50A - 6,3 MM (1/4") - (OBRAS CIVIS)</v>
      </c>
      <c r="D112" s="57" t="str">
        <f>ORÇAMENTO!G48</f>
        <v>Kg</v>
      </c>
      <c r="E112" s="60" t="s">
        <v>321</v>
      </c>
    </row>
    <row r="113" spans="2:6" s="5" customFormat="1" ht="15" customHeight="1" x14ac:dyDescent="0.2">
      <c r="B113" s="18"/>
      <c r="C113" s="51" t="s">
        <v>322</v>
      </c>
      <c r="D113" s="52" t="s">
        <v>86</v>
      </c>
      <c r="E113" s="52">
        <f>(0.85*10)*E105</f>
        <v>85</v>
      </c>
    </row>
    <row r="114" spans="2:6" s="5" customFormat="1" ht="15" customHeight="1" x14ac:dyDescent="0.2">
      <c r="B114" s="18"/>
      <c r="C114" s="51" t="s">
        <v>323</v>
      </c>
      <c r="D114" s="52" t="s">
        <v>324</v>
      </c>
      <c r="E114" s="153">
        <v>0.245</v>
      </c>
    </row>
    <row r="115" spans="2:6" ht="15" customHeight="1" thickBot="1" x14ac:dyDescent="0.25">
      <c r="B115" s="345" t="s">
        <v>58</v>
      </c>
      <c r="C115" s="346"/>
      <c r="D115" s="347"/>
      <c r="E115" s="46">
        <f>SUM(E113:E114)</f>
        <v>85.245000000000005</v>
      </c>
      <c r="F115" s="1"/>
    </row>
    <row r="116" spans="2:6" s="61" customFormat="1" ht="15" customHeight="1" x14ac:dyDescent="0.2">
      <c r="B116" s="53" t="str">
        <f>ORÇAMENTO!B49</f>
        <v>4.4</v>
      </c>
      <c r="C116" s="54" t="str">
        <f>ORÇAMENTO!E49</f>
        <v>LASTRO DE BRITA (OBRAS CIVIS)</v>
      </c>
      <c r="D116" s="57" t="str">
        <f>ORÇAMENTO!G49</f>
        <v>m3</v>
      </c>
      <c r="E116" s="60" t="s">
        <v>73</v>
      </c>
    </row>
    <row r="117" spans="2:6" s="61" customFormat="1" ht="15" customHeight="1" x14ac:dyDescent="0.2">
      <c r="B117" s="11"/>
      <c r="C117" s="49" t="s">
        <v>167</v>
      </c>
      <c r="D117" s="59" t="s">
        <v>25</v>
      </c>
      <c r="E117" s="116">
        <f>E168+E171</f>
        <v>789.68</v>
      </c>
    </row>
    <row r="118" spans="2:6" s="5" customFormat="1" ht="15" customHeight="1" x14ac:dyDescent="0.2">
      <c r="B118" s="18"/>
      <c r="C118" s="51" t="s">
        <v>393</v>
      </c>
      <c r="D118" s="52" t="s">
        <v>86</v>
      </c>
      <c r="E118" s="52">
        <v>1.15E-2</v>
      </c>
    </row>
    <row r="119" spans="2:6" ht="15" customHeight="1" thickBot="1" x14ac:dyDescent="0.25">
      <c r="B119" s="345" t="s">
        <v>58</v>
      </c>
      <c r="C119" s="346"/>
      <c r="D119" s="347"/>
      <c r="E119" s="46">
        <f>E117*E118</f>
        <v>9.0813199999999998</v>
      </c>
      <c r="F119" s="1"/>
    </row>
    <row r="120" spans="2:6" s="61" customFormat="1" ht="15" customHeight="1" x14ac:dyDescent="0.2">
      <c r="B120" s="53" t="str">
        <f>ORÇAMENTO!B50</f>
        <v>4.5</v>
      </c>
      <c r="C120" s="54" t="str">
        <f>ORÇAMENTO!E50</f>
        <v>PREPARO COM BETONEIRA E TRANSPORTE MANUAL DE CONCRETO FCK=20 MPA - (O.C.)</v>
      </c>
      <c r="D120" s="57" t="str">
        <f>ORÇAMENTO!G50</f>
        <v>m3</v>
      </c>
      <c r="E120" s="60" t="s">
        <v>321</v>
      </c>
    </row>
    <row r="121" spans="2:6" s="5" customFormat="1" ht="15" customHeight="1" x14ac:dyDescent="0.2">
      <c r="B121" s="18"/>
      <c r="C121" s="51" t="s">
        <v>390</v>
      </c>
      <c r="D121" s="52" t="s">
        <v>108</v>
      </c>
      <c r="E121" s="52">
        <v>9.1</v>
      </c>
    </row>
    <row r="122" spans="2:6" ht="15" customHeight="1" thickBot="1" x14ac:dyDescent="0.25">
      <c r="B122" s="345" t="s">
        <v>58</v>
      </c>
      <c r="C122" s="346"/>
      <c r="D122" s="347"/>
      <c r="E122" s="46">
        <f>SUM(E121:E121)</f>
        <v>9.1</v>
      </c>
      <c r="F122" s="1"/>
    </row>
    <row r="123" spans="2:6" ht="15" customHeight="1" thickBot="1" x14ac:dyDescent="0.25">
      <c r="B123" s="41">
        <f>ORÇAMENTO!B53</f>
        <v>5</v>
      </c>
      <c r="C123" s="64" t="str">
        <f>ORÇAMENTO!E53</f>
        <v>INST. ELET./TELEFONICA/CABEAMENTO ESTRUTURADO</v>
      </c>
      <c r="D123" s="20"/>
      <c r="E123" s="20"/>
      <c r="F123" s="1"/>
    </row>
    <row r="124" spans="2:6" ht="15" customHeight="1" thickBot="1" x14ac:dyDescent="0.25">
      <c r="B124" s="43" t="s">
        <v>1</v>
      </c>
      <c r="C124" s="43" t="s">
        <v>41</v>
      </c>
      <c r="D124" s="43" t="s">
        <v>42</v>
      </c>
      <c r="E124" s="43" t="s">
        <v>43</v>
      </c>
      <c r="F124" s="1"/>
    </row>
    <row r="125" spans="2:6" ht="15" customHeight="1" x14ac:dyDescent="0.2">
      <c r="B125" s="11" t="str">
        <f>ORÇAMENTO!B54</f>
        <v>5.1</v>
      </c>
      <c r="C125" s="49" t="str">
        <f>ORÇAMENTO!E54</f>
        <v xml:space="preserve">CABO EPR/XLPE (90°C) 1KV - 10MM2 </v>
      </c>
      <c r="D125" s="9" t="str">
        <f>ORÇAMENTO!G54</f>
        <v>m</v>
      </c>
      <c r="E125" s="62">
        <v>312.64999999999998</v>
      </c>
      <c r="F125" s="1"/>
    </row>
    <row r="126" spans="2:6" ht="15" customHeight="1" x14ac:dyDescent="0.2">
      <c r="B126" s="11" t="str">
        <f>ORÇAMENTO!B55</f>
        <v>5.2</v>
      </c>
      <c r="C126" s="49" t="str">
        <f>ORÇAMENTO!E55</f>
        <v>CABO PVC (70ºC) 1 KV No. 4 MM2</v>
      </c>
      <c r="D126" s="9" t="str">
        <f>ORÇAMENTO!G55</f>
        <v>m</v>
      </c>
      <c r="E126" s="59">
        <v>196.88</v>
      </c>
      <c r="F126" s="1"/>
    </row>
    <row r="127" spans="2:6" ht="15" customHeight="1" x14ac:dyDescent="0.2">
      <c r="B127" s="11" t="str">
        <f>ORÇAMENTO!B56</f>
        <v>5.3</v>
      </c>
      <c r="C127" s="49" t="str">
        <f>ORÇAMENTO!E56</f>
        <v>CABO PVC (70ºC) 1 KV No. 6 MM2</v>
      </c>
      <c r="D127" s="9" t="str">
        <f>ORÇAMENTO!G56</f>
        <v>m</v>
      </c>
      <c r="E127" s="62">
        <v>523.6</v>
      </c>
      <c r="F127" s="1"/>
    </row>
    <row r="128" spans="2:6" ht="15" customHeight="1" x14ac:dyDescent="0.2">
      <c r="B128" s="11" t="str">
        <f>ORÇAMENTO!B57</f>
        <v>5.4</v>
      </c>
      <c r="C128" s="49" t="str">
        <f>ORÇAMENTO!E57</f>
        <v>CABO FLEXÍVEL EPR/XLPE (90°C), 0,6/1 KV, 16 MM2</v>
      </c>
      <c r="D128" s="9" t="str">
        <f>ORÇAMENTO!G57</f>
        <v>m</v>
      </c>
      <c r="E128" s="62">
        <v>385.74</v>
      </c>
      <c r="F128" s="1"/>
    </row>
    <row r="129" spans="2:6" ht="15" customHeight="1" x14ac:dyDescent="0.2">
      <c r="B129" s="11" t="str">
        <f>ORÇAMENTO!B58</f>
        <v>5.5</v>
      </c>
      <c r="C129" s="49" t="str">
        <f>ORÇAMENTO!E58</f>
        <v>CABO FLEXÍVEL EPR/XLPE (90°C), 0,6/1 KV, 25MM2</v>
      </c>
      <c r="D129" s="9" t="str">
        <f>ORÇAMENTO!G58</f>
        <v>m</v>
      </c>
      <c r="E129" s="62">
        <v>587.6</v>
      </c>
      <c r="F129" s="1"/>
    </row>
    <row r="130" spans="2:6" ht="15" customHeight="1" x14ac:dyDescent="0.2">
      <c r="B130" s="11" t="str">
        <f>ORÇAMENTO!B59</f>
        <v>5.6</v>
      </c>
      <c r="C130" s="49" t="str">
        <f>ORÇAMENTO!E59</f>
        <v xml:space="preserve">CAIXA DE PASSAGEM - TAMPA EM CONCRETO ARMADO 25 MPA E=5CM </v>
      </c>
      <c r="D130" s="9" t="str">
        <f>ORÇAMENTO!G59</f>
        <v>m2</v>
      </c>
      <c r="E130" s="59">
        <f>(0.25*0.25)*10</f>
        <v>0.625</v>
      </c>
      <c r="F130" s="1"/>
    </row>
    <row r="131" spans="2:6" ht="15" customHeight="1" x14ac:dyDescent="0.2">
      <c r="B131" s="11" t="str">
        <f>ORÇAMENTO!B60</f>
        <v>5.7</v>
      </c>
      <c r="C131" s="49" t="str">
        <f>ORÇAMENTO!E60</f>
        <v xml:space="preserve">CAIXA DE PASSAGEM 20X20X25CM FUNDO BRITA SEM TAMPA </v>
      </c>
      <c r="D131" s="9" t="str">
        <f>ORÇAMENTO!G60</f>
        <v>Un</v>
      </c>
      <c r="E131" s="62">
        <v>10</v>
      </c>
      <c r="F131" s="1"/>
    </row>
    <row r="132" spans="2:6" ht="15" customHeight="1" x14ac:dyDescent="0.2">
      <c r="B132" s="11" t="str">
        <f>ORÇAMENTO!B61</f>
        <v>5.8</v>
      </c>
      <c r="C132" s="49" t="str">
        <f>ORÇAMENTO!E61</f>
        <v>ELETRODUTO PVC FLEXÍVEL - MANGUEIRA CORRUGADA REFORÇADA - DIAM. 50MM</v>
      </c>
      <c r="D132" s="9" t="str">
        <f>ORÇAMENTO!G61</f>
        <v>m</v>
      </c>
      <c r="E132" s="59">
        <f>73.5+10.8+14.66+15.53+16.8+13.99+12.9+10.11+16.74+22.55+32</f>
        <v>239.58000000000004</v>
      </c>
      <c r="F132" s="1"/>
    </row>
    <row r="133" spans="2:6" ht="15" customHeight="1" x14ac:dyDescent="0.2">
      <c r="B133" s="11" t="str">
        <f>ORÇAMENTO!B62</f>
        <v>5.9</v>
      </c>
      <c r="C133" s="49" t="str">
        <f>ORÇAMENTO!E62</f>
        <v>ELETRODUTO PVC FLEXÍVEL - MANGUEIRA CORRUGADA REFORÇADA - DIAM. 75MM</v>
      </c>
      <c r="D133" s="9" t="str">
        <f>ORÇAMENTO!G62</f>
        <v>m</v>
      </c>
      <c r="E133" s="59">
        <v>12.7</v>
      </c>
      <c r="F133" s="1"/>
    </row>
    <row r="134" spans="2:6" ht="15" customHeight="1" x14ac:dyDescent="0.2">
      <c r="B134" s="11" t="str">
        <f>ORÇAMENTO!B63</f>
        <v>5.10</v>
      </c>
      <c r="C134" s="49" t="str">
        <f>ORÇAMENTO!E63</f>
        <v xml:space="preserve">HASTE REV.COBRE(COPPERWELD) 5/8" X 3,00 M C/CONECTOR </v>
      </c>
      <c r="D134" s="9" t="str">
        <f>ORÇAMENTO!G63</f>
        <v>Un</v>
      </c>
      <c r="E134" s="59">
        <v>1</v>
      </c>
      <c r="F134" s="1"/>
    </row>
    <row r="135" spans="2:6" ht="15" customHeight="1" x14ac:dyDescent="0.2">
      <c r="B135" s="11" t="str">
        <f>ORÇAMENTO!B64</f>
        <v>5.11</v>
      </c>
      <c r="C135" s="49" t="str">
        <f>ORÇAMENTO!E64</f>
        <v>PADRÃO TRIFASICO 25 MM H=7 METROS</v>
      </c>
      <c r="D135" s="9" t="str">
        <f>ORÇAMENTO!G64</f>
        <v>Un</v>
      </c>
      <c r="E135" s="62">
        <v>1</v>
      </c>
      <c r="F135" s="1"/>
    </row>
    <row r="136" spans="2:6" ht="30" customHeight="1" x14ac:dyDescent="0.2">
      <c r="B136" s="11" t="str">
        <f>ORÇAMENTO!B65</f>
        <v>5.12</v>
      </c>
      <c r="C136" s="49" t="str">
        <f>ORÇAMENTO!E65</f>
        <v>POSTE SIMPLES CÔNICO CONTÍNUO, CIRCULAR, RETO, COM DIÂMETRO NOMINAL DE 60MM NA EXTREMIDADE, GALVANIZADO A FOGO, Hútil= 7 M - ENGASTADO EM CONCRETO COM FCK = 13,5 MPA</v>
      </c>
      <c r="D136" s="9" t="str">
        <f>ORÇAMENTO!G65</f>
        <v>Un</v>
      </c>
      <c r="E136" s="59">
        <v>10</v>
      </c>
      <c r="F136" s="1"/>
    </row>
    <row r="137" spans="2:6" ht="15" customHeight="1" x14ac:dyDescent="0.2">
      <c r="B137" s="11" t="str">
        <f>ORÇAMENTO!B66</f>
        <v>5.13</v>
      </c>
      <c r="C137" s="49" t="str">
        <f>ORÇAMENTO!E66</f>
        <v xml:space="preserve">RELE FOTO ELETRICO COM BASE </v>
      </c>
      <c r="D137" s="9" t="str">
        <f>ORÇAMENTO!G66</f>
        <v>Un</v>
      </c>
      <c r="E137" s="62">
        <v>10</v>
      </c>
      <c r="F137" s="1"/>
    </row>
    <row r="138" spans="2:6" ht="30" customHeight="1" x14ac:dyDescent="0.2">
      <c r="B138" s="142" t="str">
        <f>ORÇAMENTO!B67</f>
        <v>5.14</v>
      </c>
      <c r="C138" s="216" t="str">
        <f>ORÇAMENTO!E67</f>
        <v>LUMINÁRIA DE LED PARA ILUMINAÇÃO PÚBLICA, DE 98 W ATÉ 137 W - FORNECIMENTO E INSTALAÇÃO. AF_08/2020</v>
      </c>
      <c r="D138" s="142" t="str">
        <f>ORÇAMENTO!G67</f>
        <v>Un</v>
      </c>
      <c r="E138" s="144">
        <f>10*4</f>
        <v>40</v>
      </c>
      <c r="F138" s="1"/>
    </row>
    <row r="139" spans="2:6" ht="15" customHeight="1" x14ac:dyDescent="0.2">
      <c r="B139" s="11" t="str">
        <f>ORÇAMENTO!B68</f>
        <v>5.15</v>
      </c>
      <c r="C139" s="49" t="str">
        <f>ORÇAMENTO!E68</f>
        <v>LUMINÁRIA PLAFON LED QUADRADA DE SOBREPOR, 36W A 39W, 60X60 CM</v>
      </c>
      <c r="D139" s="9" t="str">
        <f>ORÇAMENTO!G68</f>
        <v>Un</v>
      </c>
      <c r="E139" s="62">
        <f>3+4</f>
        <v>7</v>
      </c>
      <c r="F139" s="1"/>
    </row>
    <row r="140" spans="2:6" ht="15" customHeight="1" thickBot="1" x14ac:dyDescent="0.25">
      <c r="B140" s="11" t="str">
        <f>ORÇAMENTO!B69</f>
        <v>5.16</v>
      </c>
      <c r="C140" s="49" t="str">
        <f>ORÇAMENTO!E69</f>
        <v xml:space="preserve">SUPORTE PARA 4 PÉTALAS PARA LUMINÁRIA DE ILUMINAÇÃO PÚBLICA </v>
      </c>
      <c r="D140" s="9" t="str">
        <f>ORÇAMENTO!G69</f>
        <v>Un</v>
      </c>
      <c r="E140" s="62">
        <v>10</v>
      </c>
      <c r="F140" s="1"/>
    </row>
    <row r="141" spans="2:6" ht="15" customHeight="1" thickBot="1" x14ac:dyDescent="0.25">
      <c r="B141" s="41">
        <f>ORÇAMENTO!B72</f>
        <v>6</v>
      </c>
      <c r="C141" s="21" t="str">
        <f>ORÇAMENTO!E72</f>
        <v>INSTALAÇÕES HIDROSSANITÁRIAS</v>
      </c>
      <c r="D141" s="20"/>
      <c r="E141" s="20"/>
      <c r="F141" s="1"/>
    </row>
    <row r="142" spans="2:6" ht="15" customHeight="1" thickBot="1" x14ac:dyDescent="0.25">
      <c r="B142" s="43" t="s">
        <v>1</v>
      </c>
      <c r="C142" s="43" t="s">
        <v>41</v>
      </c>
      <c r="D142" s="43" t="s">
        <v>42</v>
      </c>
      <c r="E142" s="43" t="s">
        <v>43</v>
      </c>
      <c r="F142" s="1"/>
    </row>
    <row r="143" spans="2:6" s="68" customFormat="1" ht="15" customHeight="1" x14ac:dyDescent="0.2">
      <c r="B143" s="65" t="str">
        <f>ORÇAMENTO!B73</f>
        <v>6.1</v>
      </c>
      <c r="C143" s="66" t="str">
        <f>ORÇAMENTO!E73</f>
        <v xml:space="preserve">TORNEIRA DE JARDIM COM BICO PARA MANGUEIRA DIÂMETRO DE 1/2" E 3/4" </v>
      </c>
      <c r="D143" s="67" t="str">
        <f>ORÇAMENTO!G73</f>
        <v>Un</v>
      </c>
      <c r="E143" s="67">
        <v>4</v>
      </c>
    </row>
    <row r="144" spans="2:6" s="68" customFormat="1" ht="15" customHeight="1" x14ac:dyDescent="0.2">
      <c r="B144" s="65" t="str">
        <f>ORÇAMENTO!B74</f>
        <v>6.2</v>
      </c>
      <c r="C144" s="66" t="str">
        <f>ORÇAMENTO!E74</f>
        <v xml:space="preserve">TUBO SOLDÁVEL PVC MARROM DIÂMETRO 25 mm </v>
      </c>
      <c r="D144" s="67" t="str">
        <f>ORÇAMENTO!G74</f>
        <v>m</v>
      </c>
      <c r="E144" s="67">
        <f>31.5+17+15+12.5+2+50</f>
        <v>128</v>
      </c>
    </row>
    <row r="145" spans="2:6" s="68" customFormat="1" ht="15" customHeight="1" x14ac:dyDescent="0.2">
      <c r="B145" s="65" t="str">
        <f>ORÇAMENTO!B75</f>
        <v>6.3</v>
      </c>
      <c r="C145" s="66" t="str">
        <f>ORÇAMENTO!E75</f>
        <v xml:space="preserve">JOELHO 90 GRAUS SOLDAVEL DIÂMETRO 25 MM </v>
      </c>
      <c r="D145" s="67" t="str">
        <f>ORÇAMENTO!G75</f>
        <v>Un</v>
      </c>
      <c r="E145" s="67">
        <v>6</v>
      </c>
    </row>
    <row r="146" spans="2:6" s="68" customFormat="1" ht="15" customHeight="1" x14ac:dyDescent="0.2">
      <c r="B146" s="65" t="str">
        <f>ORÇAMENTO!B76</f>
        <v>6.4</v>
      </c>
      <c r="C146" s="66" t="str">
        <f>ORÇAMENTO!E76</f>
        <v>JOELHO 90 GRAUS SOLD. C/BUCHA LATAO 25 X 3/4"</v>
      </c>
      <c r="D146" s="67" t="str">
        <f>ORÇAMENTO!G76</f>
        <v>Un</v>
      </c>
      <c r="E146" s="67">
        <v>4</v>
      </c>
    </row>
    <row r="147" spans="2:6" s="68" customFormat="1" ht="15" customHeight="1" x14ac:dyDescent="0.2">
      <c r="B147" s="65" t="str">
        <f>ORÇAMENTO!B77</f>
        <v>6.5</v>
      </c>
      <c r="C147" s="66" t="str">
        <f>ORÇAMENTO!E77</f>
        <v xml:space="preserve">TE 90 GRAUS SOLDAVEL DIAMETRO 25 mm </v>
      </c>
      <c r="D147" s="67" t="str">
        <f>ORÇAMENTO!G77</f>
        <v>Un</v>
      </c>
      <c r="E147" s="67">
        <v>3</v>
      </c>
    </row>
    <row r="148" spans="2:6" s="68" customFormat="1" ht="15" customHeight="1" x14ac:dyDescent="0.2">
      <c r="B148" s="65" t="str">
        <f>ORÇAMENTO!B78</f>
        <v>6.6</v>
      </c>
      <c r="C148" s="66" t="str">
        <f>ORÇAMENTO!E78</f>
        <v xml:space="preserve">UNIÃO SOLDÁVEL DIÂMETRO 25 mm </v>
      </c>
      <c r="D148" s="67" t="str">
        <f>ORÇAMENTO!G78</f>
        <v>Un</v>
      </c>
      <c r="E148" s="67">
        <v>10</v>
      </c>
    </row>
    <row r="149" spans="2:6" s="68" customFormat="1" ht="15" customHeight="1" x14ac:dyDescent="0.2">
      <c r="B149" s="65" t="str">
        <f>ORÇAMENTO!B79</f>
        <v>6.7</v>
      </c>
      <c r="C149" s="66" t="str">
        <f>ORÇAMENTO!E79</f>
        <v>TUBO SOLDAVEL PARA ESGOTO DIAMETRO 100 MM</v>
      </c>
      <c r="D149" s="67" t="str">
        <f>ORÇAMENTO!G79</f>
        <v>m</v>
      </c>
      <c r="E149" s="67">
        <f>4*0.5</f>
        <v>2</v>
      </c>
    </row>
    <row r="150" spans="2:6" s="68" customFormat="1" ht="15" customHeight="1" thickBot="1" x14ac:dyDescent="0.25">
      <c r="B150" s="65" t="str">
        <f>ORÇAMENTO!B80</f>
        <v>6.8</v>
      </c>
      <c r="C150" s="66" t="str">
        <f>ORÇAMENTO!E80</f>
        <v xml:space="preserve">HIDRÔMETRO DIAM.RAMAL = 25 MM VAZAO =1,5 A 3 M3 </v>
      </c>
      <c r="D150" s="67" t="str">
        <f>ORÇAMENTO!G80</f>
        <v>Un</v>
      </c>
      <c r="E150" s="67">
        <v>1</v>
      </c>
    </row>
    <row r="151" spans="2:6" ht="15" customHeight="1" thickBot="1" x14ac:dyDescent="0.25">
      <c r="B151" s="41">
        <f>ORÇAMENTO!B83</f>
        <v>7</v>
      </c>
      <c r="C151" s="42" t="str">
        <f>ORÇAMENTO!E83</f>
        <v>ESTRUTURAS METÁLICAS</v>
      </c>
      <c r="D151" s="20"/>
      <c r="E151" s="70"/>
      <c r="F151" s="1"/>
    </row>
    <row r="152" spans="2:6" ht="15" customHeight="1" thickBot="1" x14ac:dyDescent="0.25">
      <c r="B152" s="43" t="s">
        <v>1</v>
      </c>
      <c r="C152" s="43" t="s">
        <v>41</v>
      </c>
      <c r="D152" s="43" t="s">
        <v>42</v>
      </c>
      <c r="E152" s="43" t="s">
        <v>43</v>
      </c>
      <c r="F152" s="1"/>
    </row>
    <row r="153" spans="2:6" ht="30" customHeight="1" x14ac:dyDescent="0.2">
      <c r="B153" s="53" t="str">
        <f>ORÇAMENTO!B84</f>
        <v>7.1</v>
      </c>
      <c r="C153" s="54" t="str">
        <f>ORÇAMENTO!E84</f>
        <v>ESTRUTURA METÁLICA CONVENCIONAL EM AÇO DO TIPO MR-250 / ASTM A36 COM FUNDO ANTICORROSIVO</v>
      </c>
      <c r="D153" s="63" t="str">
        <f>ORÇAMENTO!G84</f>
        <v>Kg</v>
      </c>
      <c r="E153" s="69" t="s">
        <v>379</v>
      </c>
      <c r="F153" s="1"/>
    </row>
    <row r="154" spans="2:6" s="5" customFormat="1" ht="15" customHeight="1" x14ac:dyDescent="0.2">
      <c r="B154" s="18" t="s">
        <v>50</v>
      </c>
      <c r="C154" s="51" t="s">
        <v>386</v>
      </c>
      <c r="D154" s="52" t="s">
        <v>86</v>
      </c>
      <c r="E154" s="52">
        <v>1.2</v>
      </c>
    </row>
    <row r="155" spans="2:6" s="5" customFormat="1" ht="15" customHeight="1" x14ac:dyDescent="0.2">
      <c r="B155" s="18" t="s">
        <v>51</v>
      </c>
      <c r="C155" s="51" t="s">
        <v>380</v>
      </c>
      <c r="D155" s="52" t="s">
        <v>324</v>
      </c>
      <c r="E155" s="52">
        <v>110</v>
      </c>
    </row>
    <row r="156" spans="2:6" ht="15" customHeight="1" thickBot="1" x14ac:dyDescent="0.25">
      <c r="B156" s="345" t="s">
        <v>130</v>
      </c>
      <c r="C156" s="346"/>
      <c r="D156" s="347"/>
      <c r="E156" s="46">
        <f>SUM(E154:E154)*E155</f>
        <v>132</v>
      </c>
      <c r="F156" s="1"/>
    </row>
    <row r="157" spans="2:6" ht="15" customHeight="1" thickBot="1" x14ac:dyDescent="0.25">
      <c r="B157" s="41">
        <f>ORÇAMENTO!B87</f>
        <v>8</v>
      </c>
      <c r="C157" s="42" t="str">
        <f>ORÇAMENTO!E87</f>
        <v>ESQUADRIAS METÁLICAS</v>
      </c>
      <c r="D157" s="20"/>
      <c r="E157" s="70"/>
      <c r="F157" s="1"/>
    </row>
    <row r="158" spans="2:6" ht="15" customHeight="1" thickBot="1" x14ac:dyDescent="0.25">
      <c r="B158" s="43" t="s">
        <v>1</v>
      </c>
      <c r="C158" s="43" t="s">
        <v>41</v>
      </c>
      <c r="D158" s="43" t="s">
        <v>42</v>
      </c>
      <c r="E158" s="43" t="s">
        <v>43</v>
      </c>
      <c r="F158" s="1"/>
    </row>
    <row r="159" spans="2:6" ht="15" customHeight="1" x14ac:dyDescent="0.2">
      <c r="B159" s="53" t="str">
        <f>ORÇAMENTO!B88</f>
        <v>8.1</v>
      </c>
      <c r="C159" s="54" t="str">
        <f>ORÇAMENTO!E88</f>
        <v>GRADE DE FRENTE/FERRO REDONDO COM ESTACA D=25CM ARMADA - GF-1</v>
      </c>
      <c r="D159" s="63" t="str">
        <f>ORÇAMENTO!G88</f>
        <v>m2</v>
      </c>
      <c r="E159" s="69" t="s">
        <v>111</v>
      </c>
      <c r="F159" s="1"/>
    </row>
    <row r="160" spans="2:6" s="5" customFormat="1" ht="15" customHeight="1" x14ac:dyDescent="0.2">
      <c r="B160" s="18"/>
      <c r="C160" s="51" t="s">
        <v>296</v>
      </c>
      <c r="D160" s="52" t="s">
        <v>86</v>
      </c>
      <c r="E160" s="52">
        <f>20.54+20.6+22.26</f>
        <v>63.400000000000006</v>
      </c>
    </row>
    <row r="161" spans="1:8" s="5" customFormat="1" ht="15" customHeight="1" x14ac:dyDescent="0.2">
      <c r="B161" s="18"/>
      <c r="C161" s="51" t="s">
        <v>127</v>
      </c>
      <c r="D161" s="52" t="s">
        <v>86</v>
      </c>
      <c r="E161" s="52">
        <v>1.1000000000000001</v>
      </c>
    </row>
    <row r="162" spans="1:8" ht="15" customHeight="1" thickBot="1" x14ac:dyDescent="0.25">
      <c r="B162" s="345" t="s">
        <v>58</v>
      </c>
      <c r="C162" s="346"/>
      <c r="D162" s="347"/>
      <c r="E162" s="46">
        <f>E160*E161</f>
        <v>69.740000000000009</v>
      </c>
      <c r="F162" s="1"/>
    </row>
    <row r="163" spans="1:8" ht="15" customHeight="1" thickBot="1" x14ac:dyDescent="0.25">
      <c r="B163" s="41">
        <f>ORÇAMENTO!B91</f>
        <v>9</v>
      </c>
      <c r="C163" s="42" t="str">
        <f>ORÇAMENTO!E91</f>
        <v>REVESTIMENTO DE PISO</v>
      </c>
      <c r="D163" s="20"/>
      <c r="E163" s="70"/>
      <c r="F163" s="1"/>
    </row>
    <row r="164" spans="1:8" ht="15" customHeight="1" thickBot="1" x14ac:dyDescent="0.25">
      <c r="B164" s="43" t="s">
        <v>1</v>
      </c>
      <c r="C164" s="43" t="s">
        <v>41</v>
      </c>
      <c r="D164" s="43" t="s">
        <v>42</v>
      </c>
      <c r="E164" s="43" t="s">
        <v>43</v>
      </c>
      <c r="F164" s="1"/>
    </row>
    <row r="165" spans="1:8" ht="15" customHeight="1" x14ac:dyDescent="0.2">
      <c r="B165" s="53" t="str">
        <f>ORÇAMENTO!B92</f>
        <v>9.1</v>
      </c>
      <c r="C165" s="54" t="str">
        <f>ORÇAMENTO!E92</f>
        <v>PISO EM CONCRETO DESEMPENADO ESPESSURA = 7 CM 1:2,5:3,5</v>
      </c>
      <c r="D165" s="63" t="str">
        <f>ORÇAMENTO!G92</f>
        <v>m2</v>
      </c>
      <c r="E165" s="69" t="s">
        <v>68</v>
      </c>
      <c r="F165" s="1"/>
      <c r="H165" s="1">
        <v>558.67999999999995</v>
      </c>
    </row>
    <row r="166" spans="1:8" ht="15" customHeight="1" x14ac:dyDescent="0.2">
      <c r="B166" s="11"/>
      <c r="C166" s="51" t="s">
        <v>213</v>
      </c>
      <c r="D166" s="62" t="s">
        <v>25</v>
      </c>
      <c r="E166" s="52">
        <v>558.67999999999995</v>
      </c>
      <c r="F166" s="1"/>
      <c r="H166" s="1">
        <v>260.76</v>
      </c>
    </row>
    <row r="167" spans="1:8" ht="15" customHeight="1" x14ac:dyDescent="0.2">
      <c r="B167" s="11"/>
      <c r="C167" s="51" t="s">
        <v>215</v>
      </c>
      <c r="D167" s="62" t="s">
        <v>25</v>
      </c>
      <c r="E167" s="52">
        <v>260.76</v>
      </c>
      <c r="F167" s="1"/>
    </row>
    <row r="168" spans="1:8" ht="15" customHeight="1" thickBot="1" x14ac:dyDescent="0.25">
      <c r="A168" s="141"/>
      <c r="B168" s="345" t="s">
        <v>58</v>
      </c>
      <c r="C168" s="346"/>
      <c r="D168" s="347"/>
      <c r="E168" s="46">
        <f>E166</f>
        <v>558.67999999999995</v>
      </c>
      <c r="F168" s="1"/>
      <c r="H168" s="1">
        <f>SUM(H165:H166)</f>
        <v>819.43999999999994</v>
      </c>
    </row>
    <row r="169" spans="1:8" ht="15" customHeight="1" x14ac:dyDescent="0.2">
      <c r="B169" s="53" t="str">
        <f>ORÇAMENTO!B93</f>
        <v>9.2</v>
      </c>
      <c r="C169" s="54" t="str">
        <f>ORÇAMENTO!E93</f>
        <v>LASTRO DE CONCRETO REGULARIZADO SEM IMPERMEAB. 1:3:6 ESP= 5CM (BASE)</v>
      </c>
      <c r="D169" s="63" t="str">
        <f>ORÇAMENTO!G93</f>
        <v>m2</v>
      </c>
      <c r="E169" s="69" t="s">
        <v>111</v>
      </c>
      <c r="F169" s="1"/>
    </row>
    <row r="170" spans="1:8" s="5" customFormat="1" ht="15" customHeight="1" x14ac:dyDescent="0.2">
      <c r="B170" s="18"/>
      <c r="C170" s="51" t="s">
        <v>214</v>
      </c>
      <c r="D170" s="52" t="s">
        <v>25</v>
      </c>
      <c r="E170" s="52">
        <v>231</v>
      </c>
    </row>
    <row r="171" spans="1:8" ht="15" customHeight="1" thickBot="1" x14ac:dyDescent="0.25">
      <c r="B171" s="345" t="s">
        <v>58</v>
      </c>
      <c r="C171" s="346"/>
      <c r="D171" s="347"/>
      <c r="E171" s="46">
        <f>SUM(E170:E170)</f>
        <v>231</v>
      </c>
      <c r="F171" s="1"/>
    </row>
    <row r="172" spans="1:8" ht="15" customHeight="1" x14ac:dyDescent="0.2">
      <c r="B172" s="53" t="str">
        <f>ORÇAMENTO!B94</f>
        <v>9.3</v>
      </c>
      <c r="C172" s="54" t="str">
        <f>ORÇAMENTO!E94</f>
        <v>LADRILHO HIDRAULICO DE UMA COR (SEM LASTRO)</v>
      </c>
      <c r="D172" s="63" t="str">
        <f>ORÇAMENTO!G94</f>
        <v>m2</v>
      </c>
      <c r="E172" s="69" t="s">
        <v>68</v>
      </c>
      <c r="F172" s="1"/>
      <c r="H172" s="1">
        <v>558.67999999999995</v>
      </c>
    </row>
    <row r="173" spans="1:8" ht="15" customHeight="1" x14ac:dyDescent="0.2">
      <c r="B173" s="56"/>
      <c r="C173" s="145" t="s">
        <v>272</v>
      </c>
      <c r="D173" s="146" t="s">
        <v>25</v>
      </c>
      <c r="E173" s="59">
        <v>231</v>
      </c>
      <c r="F173" s="1"/>
    </row>
    <row r="174" spans="1:8" ht="15" customHeight="1" thickBot="1" x14ac:dyDescent="0.25">
      <c r="A174" s="141"/>
      <c r="B174" s="345" t="s">
        <v>58</v>
      </c>
      <c r="C174" s="346"/>
      <c r="D174" s="347"/>
      <c r="E174" s="46">
        <f>SUM(E173:E173)</f>
        <v>231</v>
      </c>
      <c r="F174" s="1"/>
      <c r="H174" s="1">
        <f>SUM(H172:H172)</f>
        <v>558.67999999999995</v>
      </c>
    </row>
    <row r="175" spans="1:8" ht="15" customHeight="1" x14ac:dyDescent="0.2">
      <c r="B175" s="53" t="str">
        <f>ORÇAMENTO!B95</f>
        <v>9.4</v>
      </c>
      <c r="C175" s="54" t="str">
        <f>ORÇAMENTO!E95</f>
        <v>PISO DE LADRILHO HIDRÁULICO COLORIDO MODELO TÁTIL ( ALERTA OU DIRECIONAL) SEM LASTRO</v>
      </c>
      <c r="D175" s="63" t="str">
        <f>ORÇAMENTO!G95</f>
        <v>m2</v>
      </c>
      <c r="E175" s="69" t="s">
        <v>68</v>
      </c>
      <c r="F175" s="1"/>
    </row>
    <row r="176" spans="1:8" ht="15" customHeight="1" x14ac:dyDescent="0.2">
      <c r="B176" s="11"/>
      <c r="C176" s="49" t="s">
        <v>113</v>
      </c>
      <c r="D176" s="62" t="s">
        <v>28</v>
      </c>
      <c r="E176" s="59">
        <v>2</v>
      </c>
      <c r="F176" s="1"/>
    </row>
    <row r="177" spans="2:6" ht="15" customHeight="1" x14ac:dyDescent="0.2">
      <c r="B177" s="11"/>
      <c r="C177" s="119" t="s">
        <v>114</v>
      </c>
      <c r="D177" s="62" t="s">
        <v>25</v>
      </c>
      <c r="E177" s="59">
        <f>(0.25*0.25)*14</f>
        <v>0.875</v>
      </c>
      <c r="F177" s="1"/>
    </row>
    <row r="178" spans="2:6" ht="15" customHeight="1" thickBot="1" x14ac:dyDescent="0.25">
      <c r="B178" s="345" t="s">
        <v>58</v>
      </c>
      <c r="C178" s="346"/>
      <c r="D178" s="347"/>
      <c r="E178" s="46">
        <f>E177*E176</f>
        <v>1.75</v>
      </c>
      <c r="F178" s="1"/>
    </row>
    <row r="179" spans="2:6" ht="15" customHeight="1" thickBot="1" x14ac:dyDescent="0.25">
      <c r="B179" s="41">
        <f>ORÇAMENTO!B98</f>
        <v>10</v>
      </c>
      <c r="C179" s="42" t="str">
        <f>ORÇAMENTO!E98</f>
        <v>ADMINISTRAÇÃO - MENSALISTAS</v>
      </c>
      <c r="D179" s="20"/>
      <c r="E179" s="20"/>
      <c r="F179" s="1"/>
    </row>
    <row r="180" spans="2:6" ht="15" customHeight="1" thickBot="1" x14ac:dyDescent="0.25">
      <c r="B180" s="43" t="s">
        <v>1</v>
      </c>
      <c r="C180" s="43" t="s">
        <v>41</v>
      </c>
      <c r="D180" s="43" t="s">
        <v>42</v>
      </c>
      <c r="E180" s="43" t="s">
        <v>43</v>
      </c>
      <c r="F180" s="1"/>
    </row>
    <row r="181" spans="2:6" ht="15" customHeight="1" x14ac:dyDescent="0.2">
      <c r="B181" s="53" t="str">
        <f>ORÇAMENTO!B99</f>
        <v>10.1</v>
      </c>
      <c r="C181" s="72" t="str">
        <f>ORÇAMENTO!E99</f>
        <v xml:space="preserve">MESTRE DE OBRA - (OBRAS CIVIS) </v>
      </c>
      <c r="D181" s="63" t="str">
        <f>ORÇAMENTO!G99</f>
        <v xml:space="preserve">H </v>
      </c>
      <c r="E181" s="69" t="s">
        <v>100</v>
      </c>
      <c r="F181" s="1"/>
    </row>
    <row r="182" spans="2:6" ht="15" customHeight="1" x14ac:dyDescent="0.2">
      <c r="B182" s="53"/>
      <c r="C182" s="49" t="s">
        <v>101</v>
      </c>
      <c r="D182" s="62" t="s">
        <v>103</v>
      </c>
      <c r="E182" s="59">
        <v>7</v>
      </c>
      <c r="F182" s="1"/>
    </row>
    <row r="183" spans="2:6" ht="15" customHeight="1" x14ac:dyDescent="0.2">
      <c r="B183" s="11"/>
      <c r="C183" s="49" t="s">
        <v>102</v>
      </c>
      <c r="D183" s="62" t="s">
        <v>104</v>
      </c>
      <c r="E183" s="59">
        <f>3*20</f>
        <v>60</v>
      </c>
      <c r="F183" s="1"/>
    </row>
    <row r="184" spans="2:6" ht="15" customHeight="1" thickBot="1" x14ac:dyDescent="0.25">
      <c r="B184" s="345" t="s">
        <v>58</v>
      </c>
      <c r="C184" s="346"/>
      <c r="D184" s="347"/>
      <c r="E184" s="46">
        <f>E183*E182</f>
        <v>420</v>
      </c>
      <c r="F184" s="1"/>
    </row>
    <row r="185" spans="2:6" ht="15" customHeight="1" x14ac:dyDescent="0.2">
      <c r="B185" s="53" t="str">
        <f>ORÇAMENTO!B100</f>
        <v>10.2</v>
      </c>
      <c r="C185" s="72" t="str">
        <f>ORÇAMENTO!E100</f>
        <v>ENGENHEIRO - (OBRAS CIVIS)</v>
      </c>
      <c r="D185" s="63" t="str">
        <f>ORÇAMENTO!G100</f>
        <v xml:space="preserve">H </v>
      </c>
      <c r="E185" s="69" t="s">
        <v>100</v>
      </c>
      <c r="F185" s="1"/>
    </row>
    <row r="186" spans="2:6" ht="15" customHeight="1" x14ac:dyDescent="0.2">
      <c r="B186" s="53"/>
      <c r="C186" s="49" t="s">
        <v>101</v>
      </c>
      <c r="D186" s="62" t="s">
        <v>103</v>
      </c>
      <c r="E186" s="59">
        <v>2</v>
      </c>
      <c r="F186" s="1"/>
    </row>
    <row r="187" spans="2:6" ht="15" customHeight="1" x14ac:dyDescent="0.2">
      <c r="B187" s="11"/>
      <c r="C187" s="49" t="s">
        <v>102</v>
      </c>
      <c r="D187" s="62" t="s">
        <v>104</v>
      </c>
      <c r="E187" s="59">
        <v>60</v>
      </c>
      <c r="F187" s="1"/>
    </row>
    <row r="188" spans="2:6" ht="15" customHeight="1" thickBot="1" x14ac:dyDescent="0.25">
      <c r="B188" s="345" t="s">
        <v>58</v>
      </c>
      <c r="C188" s="346"/>
      <c r="D188" s="347"/>
      <c r="E188" s="46">
        <f>E187*E186</f>
        <v>120</v>
      </c>
      <c r="F188" s="1"/>
    </row>
    <row r="189" spans="2:6" ht="15" customHeight="1" x14ac:dyDescent="0.2">
      <c r="B189" s="53" t="str">
        <f>ORÇAMENTO!B101</f>
        <v>10.3</v>
      </c>
      <c r="C189" s="72" t="str">
        <f>ORÇAMENTO!E101</f>
        <v>VIGIA DE OBRAS - (NOTURNO E NO SÁBADO/DOMINGO DIURNO) - O.C. H</v>
      </c>
      <c r="D189" s="63" t="str">
        <f>ORÇAMENTO!G101</f>
        <v xml:space="preserve">H </v>
      </c>
      <c r="E189" s="69" t="s">
        <v>100</v>
      </c>
      <c r="F189" s="1"/>
    </row>
    <row r="190" spans="2:6" ht="15" customHeight="1" x14ac:dyDescent="0.2">
      <c r="B190" s="53"/>
      <c r="C190" s="49" t="s">
        <v>101</v>
      </c>
      <c r="D190" s="62" t="s">
        <v>103</v>
      </c>
      <c r="E190" s="59">
        <v>10</v>
      </c>
      <c r="F190" s="1"/>
    </row>
    <row r="191" spans="2:6" ht="15" customHeight="1" x14ac:dyDescent="0.2">
      <c r="B191" s="11"/>
      <c r="C191" s="49" t="s">
        <v>102</v>
      </c>
      <c r="D191" s="62" t="s">
        <v>104</v>
      </c>
      <c r="E191" s="59">
        <v>40</v>
      </c>
      <c r="F191" s="1"/>
    </row>
    <row r="192" spans="2:6" ht="15" customHeight="1" thickBot="1" x14ac:dyDescent="0.25">
      <c r="B192" s="345" t="s">
        <v>58</v>
      </c>
      <c r="C192" s="346"/>
      <c r="D192" s="347"/>
      <c r="E192" s="46">
        <f>E191*E190</f>
        <v>400</v>
      </c>
      <c r="F192" s="1"/>
    </row>
    <row r="193" spans="2:6" ht="15" customHeight="1" thickBot="1" x14ac:dyDescent="0.25">
      <c r="B193" s="41">
        <f>ORÇAMENTO!B104</f>
        <v>11</v>
      </c>
      <c r="C193" s="42" t="str">
        <f>ORÇAMENTO!E104</f>
        <v>PINTURA</v>
      </c>
      <c r="D193" s="20"/>
      <c r="E193" s="20"/>
      <c r="F193" s="1"/>
    </row>
    <row r="194" spans="2:6" ht="15" customHeight="1" thickBot="1" x14ac:dyDescent="0.25">
      <c r="B194" s="43" t="s">
        <v>1</v>
      </c>
      <c r="C194" s="43" t="s">
        <v>41</v>
      </c>
      <c r="D194" s="43" t="s">
        <v>42</v>
      </c>
      <c r="E194" s="43" t="s">
        <v>43</v>
      </c>
      <c r="F194" s="1"/>
    </row>
    <row r="195" spans="2:6" ht="15" customHeight="1" x14ac:dyDescent="0.2">
      <c r="B195" s="53" t="str">
        <f>ORÇAMENTO!B105</f>
        <v>11.1</v>
      </c>
      <c r="C195" s="54" t="str">
        <f>ORÇAMENTO!E105</f>
        <v>CAIAÇAO 2 DEMAOS EM POSTE/ VIGAS E MEIO FIO(OC)</v>
      </c>
      <c r="D195" s="57" t="str">
        <f>ORÇAMENTO!G105</f>
        <v>m2</v>
      </c>
      <c r="E195" s="69" t="s">
        <v>68</v>
      </c>
      <c r="F195" s="1"/>
    </row>
    <row r="196" spans="2:6" s="5" customFormat="1" ht="15" customHeight="1" x14ac:dyDescent="0.2">
      <c r="B196" s="18"/>
      <c r="C196" s="51" t="s">
        <v>137</v>
      </c>
      <c r="D196" s="52" t="s">
        <v>86</v>
      </c>
      <c r="E196" s="59">
        <f>E252</f>
        <v>140.92000000000002</v>
      </c>
    </row>
    <row r="197" spans="2:6" s="5" customFormat="1" ht="15" customHeight="1" x14ac:dyDescent="0.2">
      <c r="B197" s="18"/>
      <c r="C197" s="51" t="s">
        <v>295</v>
      </c>
      <c r="D197" s="52" t="s">
        <v>86</v>
      </c>
      <c r="E197" s="59">
        <f>0.1+0.15</f>
        <v>0.25</v>
      </c>
    </row>
    <row r="198" spans="2:6" ht="15" customHeight="1" thickBot="1" x14ac:dyDescent="0.25">
      <c r="B198" s="345" t="s">
        <v>85</v>
      </c>
      <c r="C198" s="346"/>
      <c r="D198" s="347"/>
      <c r="E198" s="46">
        <f>E196*E197</f>
        <v>35.230000000000004</v>
      </c>
      <c r="F198" s="1"/>
    </row>
    <row r="199" spans="2:6" s="71" customFormat="1" ht="15" customHeight="1" x14ac:dyDescent="0.2">
      <c r="B199" s="55" t="str">
        <f>ORÇAMENTO!B106</f>
        <v>11.2</v>
      </c>
      <c r="C199" s="73" t="str">
        <f>ORÇAMENTO!E106</f>
        <v>FUNDO ANTICORROSIVO PARA ESQUADRIAS METÁLICAS</v>
      </c>
      <c r="D199" s="57" t="str">
        <f>ORÇAMENTO!G106</f>
        <v>m2</v>
      </c>
      <c r="E199" s="69" t="s">
        <v>298</v>
      </c>
    </row>
    <row r="200" spans="2:6" ht="15" customHeight="1" x14ac:dyDescent="0.2">
      <c r="B200" s="53"/>
      <c r="C200" s="49" t="s">
        <v>375</v>
      </c>
      <c r="D200" s="62" t="s">
        <v>25</v>
      </c>
      <c r="E200" s="52">
        <f>E162</f>
        <v>69.740000000000009</v>
      </c>
      <c r="F200" s="1"/>
    </row>
    <row r="201" spans="2:6" ht="15" customHeight="1" thickBot="1" x14ac:dyDescent="0.25">
      <c r="B201" s="345" t="s">
        <v>58</v>
      </c>
      <c r="C201" s="346"/>
      <c r="D201" s="347"/>
      <c r="E201" s="46">
        <f>E200</f>
        <v>69.740000000000009</v>
      </c>
      <c r="F201" s="1"/>
    </row>
    <row r="202" spans="2:6" s="71" customFormat="1" ht="15" customHeight="1" x14ac:dyDescent="0.2">
      <c r="B202" s="55" t="str">
        <f>ORÇAMENTO!B107</f>
        <v>11.3</v>
      </c>
      <c r="C202" s="73" t="str">
        <f>ORÇAMENTO!E107</f>
        <v>PINTURA ESMALTE 2 DEMÃOS PARA ESQUADRIAS DE FERRO (SEM FUNDO
ANTICORROSIVO)</v>
      </c>
      <c r="D202" s="57" t="str">
        <f>ORÇAMENTO!G107</f>
        <v>m2</v>
      </c>
      <c r="E202" s="69" t="s">
        <v>298</v>
      </c>
    </row>
    <row r="203" spans="2:6" ht="15" customHeight="1" x14ac:dyDescent="0.2">
      <c r="B203" s="53"/>
      <c r="C203" s="49" t="str">
        <f>C200</f>
        <v>Conforme item 7.1</v>
      </c>
      <c r="D203" s="62" t="s">
        <v>25</v>
      </c>
      <c r="E203" s="52">
        <f>E200</f>
        <v>69.740000000000009</v>
      </c>
      <c r="F203" s="1"/>
    </row>
    <row r="204" spans="2:6" ht="15" customHeight="1" thickBot="1" x14ac:dyDescent="0.25">
      <c r="B204" s="345" t="s">
        <v>58</v>
      </c>
      <c r="C204" s="346"/>
      <c r="D204" s="347"/>
      <c r="E204" s="46">
        <f>E201</f>
        <v>69.740000000000009</v>
      </c>
      <c r="F204" s="1"/>
    </row>
    <row r="205" spans="2:6" s="71" customFormat="1" ht="15" customHeight="1" x14ac:dyDescent="0.2">
      <c r="B205" s="55" t="str">
        <f>ORÇAMENTO!B108</f>
        <v>11.4</v>
      </c>
      <c r="C205" s="73" t="str">
        <f>ORÇAMENTO!E108</f>
        <v>PINTURA TINTA POLIESPORTIVA - 2 DEMÃOS (PISOS E CIMENTADOS)</v>
      </c>
      <c r="D205" s="57" t="str">
        <f>ORÇAMENTO!G108</f>
        <v>m2</v>
      </c>
      <c r="E205" s="69" t="s">
        <v>298</v>
      </c>
    </row>
    <row r="206" spans="2:6" ht="15" customHeight="1" x14ac:dyDescent="0.2">
      <c r="B206" s="53"/>
      <c r="C206" s="49" t="s">
        <v>297</v>
      </c>
      <c r="D206" s="62" t="s">
        <v>25</v>
      </c>
      <c r="E206" s="52">
        <f>E168</f>
        <v>558.67999999999995</v>
      </c>
      <c r="F206" s="1"/>
    </row>
    <row r="207" spans="2:6" ht="15" customHeight="1" thickBot="1" x14ac:dyDescent="0.25">
      <c r="B207" s="345" t="s">
        <v>58</v>
      </c>
      <c r="C207" s="346"/>
      <c r="D207" s="347"/>
      <c r="E207" s="46">
        <f>E206</f>
        <v>558.67999999999995</v>
      </c>
      <c r="F207" s="1"/>
    </row>
    <row r="208" spans="2:6" ht="15" customHeight="1" thickBot="1" x14ac:dyDescent="0.25">
      <c r="B208" s="41">
        <f>ORÇAMENTO!B111</f>
        <v>12</v>
      </c>
      <c r="C208" s="42" t="str">
        <f>ORÇAMENTO!E111</f>
        <v>DIVERSOS</v>
      </c>
      <c r="D208" s="20"/>
      <c r="E208" s="20"/>
      <c r="F208" s="1"/>
    </row>
    <row r="209" spans="2:6" ht="15" customHeight="1" thickBot="1" x14ac:dyDescent="0.25">
      <c r="B209" s="43" t="s">
        <v>1</v>
      </c>
      <c r="C209" s="43" t="s">
        <v>41</v>
      </c>
      <c r="D209" s="43" t="s">
        <v>42</v>
      </c>
      <c r="E209" s="43" t="s">
        <v>43</v>
      </c>
      <c r="F209" s="1"/>
    </row>
    <row r="210" spans="2:6" s="71" customFormat="1" ht="15" customHeight="1" x14ac:dyDescent="0.2">
      <c r="B210" s="55" t="str">
        <f>ORÇAMENTO!B112</f>
        <v>12.1</v>
      </c>
      <c r="C210" s="73" t="str">
        <f>ORÇAMENTO!E112</f>
        <v>LIMPEZA FINAL DE OBRA - (OBRAS CIVIS)</v>
      </c>
      <c r="D210" s="57" t="str">
        <f>ORÇAMENTO!G112</f>
        <v>m2</v>
      </c>
      <c r="E210" s="69" t="s">
        <v>117</v>
      </c>
    </row>
    <row r="211" spans="2:6" ht="15" customHeight="1" x14ac:dyDescent="0.2">
      <c r="B211" s="53"/>
      <c r="C211" s="49" t="s">
        <v>117</v>
      </c>
      <c r="D211" s="62" t="s">
        <v>25</v>
      </c>
      <c r="E211" s="52">
        <f>ORÇAMENTO!N127/2009.76</f>
        <v>261.41019247813165</v>
      </c>
      <c r="F211" s="1"/>
    </row>
    <row r="212" spans="2:6" ht="15" customHeight="1" thickBot="1" x14ac:dyDescent="0.25">
      <c r="B212" s="345" t="s">
        <v>58</v>
      </c>
      <c r="C212" s="346"/>
      <c r="D212" s="347"/>
      <c r="E212" s="46">
        <f>E211</f>
        <v>261.41019247813165</v>
      </c>
      <c r="F212" s="1"/>
    </row>
    <row r="213" spans="2:6" ht="15" customHeight="1" x14ac:dyDescent="0.2">
      <c r="B213" s="53" t="str">
        <f>ORÇAMENTO!B113</f>
        <v>12.2</v>
      </c>
      <c r="C213" s="73" t="str">
        <f>ORÇAMENTO!E113</f>
        <v>PLANTIO GRAMA ESMERALDA PLACA C/ M.O. IRRIG., ADUBO,TERRA VEGETAL (O.C.) A&lt;11.000,00M2</v>
      </c>
      <c r="D213" s="57" t="str">
        <f>ORÇAMENTO!G113</f>
        <v>m2</v>
      </c>
      <c r="E213" s="69" t="s">
        <v>68</v>
      </c>
      <c r="F213" s="1"/>
    </row>
    <row r="214" spans="2:6" ht="15" customHeight="1" x14ac:dyDescent="0.2">
      <c r="B214" s="53"/>
      <c r="C214" s="49" t="s">
        <v>118</v>
      </c>
      <c r="D214" s="62" t="s">
        <v>25</v>
      </c>
      <c r="E214" s="59">
        <f>968.63*1.1</f>
        <v>1065.4930000000002</v>
      </c>
      <c r="F214" s="1"/>
    </row>
    <row r="215" spans="2:6" ht="15" customHeight="1" thickBot="1" x14ac:dyDescent="0.25">
      <c r="B215" s="345" t="s">
        <v>58</v>
      </c>
      <c r="C215" s="346"/>
      <c r="D215" s="347"/>
      <c r="E215" s="46">
        <f>E214</f>
        <v>1065.4930000000002</v>
      </c>
      <c r="F215" s="1"/>
    </row>
    <row r="216" spans="2:6" ht="15" customHeight="1" x14ac:dyDescent="0.2">
      <c r="B216" s="53" t="str">
        <f>ORÇAMENTO!B114</f>
        <v>12.3</v>
      </c>
      <c r="C216" s="72" t="str">
        <f>ORÇAMENTO!E114</f>
        <v xml:space="preserve">PLACA DE INAUGURAÇÃO AÇO ESCOVADO 80 X 60 CM </v>
      </c>
      <c r="D216" s="57" t="str">
        <f>ORÇAMENTO!G114</f>
        <v>un</v>
      </c>
      <c r="E216" s="69" t="s">
        <v>22</v>
      </c>
      <c r="F216" s="1"/>
    </row>
    <row r="217" spans="2:6" ht="15" customHeight="1" x14ac:dyDescent="0.2">
      <c r="B217" s="53"/>
      <c r="C217" s="49" t="s">
        <v>110</v>
      </c>
      <c r="D217" s="62" t="s">
        <v>28</v>
      </c>
      <c r="E217" s="59">
        <v>1</v>
      </c>
      <c r="F217" s="1"/>
    </row>
    <row r="218" spans="2:6" ht="15" customHeight="1" thickBot="1" x14ac:dyDescent="0.25">
      <c r="B218" s="345" t="s">
        <v>58</v>
      </c>
      <c r="C218" s="346"/>
      <c r="D218" s="347"/>
      <c r="E218" s="46">
        <f>E217</f>
        <v>1</v>
      </c>
      <c r="F218" s="1"/>
    </row>
    <row r="219" spans="2:6" ht="15" customHeight="1" x14ac:dyDescent="0.2">
      <c r="B219" s="53" t="str">
        <f>ORÇAMENTO!B115</f>
        <v>12.4</v>
      </c>
      <c r="C219" s="72" t="str">
        <f>ORÇAMENTO!E115</f>
        <v>OBELISCO PARA PLACA DE INAUGURAÇÃO - PADRÃO GOINFRA</v>
      </c>
      <c r="D219" s="57" t="str">
        <f>ORÇAMENTO!G115</f>
        <v>un</v>
      </c>
      <c r="E219" s="69" t="s">
        <v>22</v>
      </c>
      <c r="F219" s="1"/>
    </row>
    <row r="220" spans="2:6" ht="15" customHeight="1" x14ac:dyDescent="0.2">
      <c r="B220" s="53"/>
      <c r="C220" s="49" t="s">
        <v>110</v>
      </c>
      <c r="D220" s="62" t="s">
        <v>28</v>
      </c>
      <c r="E220" s="59">
        <v>1</v>
      </c>
      <c r="F220" s="1"/>
    </row>
    <row r="221" spans="2:6" ht="15" customHeight="1" thickBot="1" x14ac:dyDescent="0.25">
      <c r="B221" s="345" t="s">
        <v>58</v>
      </c>
      <c r="C221" s="346"/>
      <c r="D221" s="347"/>
      <c r="E221" s="46">
        <f>E220</f>
        <v>1</v>
      </c>
      <c r="F221" s="1"/>
    </row>
    <row r="222" spans="2:6" ht="15" customHeight="1" x14ac:dyDescent="0.2">
      <c r="B222" s="53" t="str">
        <f>ORÇAMENTO!B116</f>
        <v>11.5</v>
      </c>
      <c r="C222" s="72" t="s">
        <v>161</v>
      </c>
      <c r="D222" s="57" t="e">
        <f>#REF!</f>
        <v>#REF!</v>
      </c>
      <c r="E222" s="69" t="s">
        <v>22</v>
      </c>
      <c r="F222" s="1"/>
    </row>
    <row r="223" spans="2:6" ht="15" customHeight="1" x14ac:dyDescent="0.2">
      <c r="B223" s="53"/>
      <c r="C223" s="49" t="s">
        <v>270</v>
      </c>
      <c r="D223" s="62" t="s">
        <v>28</v>
      </c>
      <c r="E223" s="59">
        <v>1</v>
      </c>
      <c r="F223" s="1"/>
    </row>
    <row r="224" spans="2:6" ht="15" customHeight="1" thickBot="1" x14ac:dyDescent="0.25">
      <c r="B224" s="345" t="s">
        <v>58</v>
      </c>
      <c r="C224" s="346"/>
      <c r="D224" s="347"/>
      <c r="E224" s="46">
        <f>E223</f>
        <v>1</v>
      </c>
      <c r="F224" s="1"/>
    </row>
    <row r="225" spans="2:6" ht="15" customHeight="1" x14ac:dyDescent="0.2">
      <c r="B225" s="113" t="str">
        <f>ORÇAMENTO!B117</f>
        <v>12.5</v>
      </c>
      <c r="C225" s="122" t="str">
        <f>ORÇAMENTO!E117</f>
        <v>PLACA DE CONCRETO COM LETREIRO 3,20m X 1,70m</v>
      </c>
      <c r="D225" s="57" t="str">
        <f>ORÇAMENTO!G117</f>
        <v>un</v>
      </c>
      <c r="E225" s="114" t="s">
        <v>22</v>
      </c>
      <c r="F225" s="1"/>
    </row>
    <row r="226" spans="2:6" ht="15" customHeight="1" x14ac:dyDescent="0.2">
      <c r="B226" s="113"/>
      <c r="C226" s="115" t="s">
        <v>178</v>
      </c>
      <c r="D226" s="57" t="e">
        <f>#REF!</f>
        <v>#REF!</v>
      </c>
      <c r="E226" s="117">
        <v>1</v>
      </c>
      <c r="F226" s="1"/>
    </row>
    <row r="227" spans="2:6" ht="15" customHeight="1" thickBot="1" x14ac:dyDescent="0.25">
      <c r="B227" s="342" t="s">
        <v>58</v>
      </c>
      <c r="C227" s="343"/>
      <c r="D227" s="344"/>
      <c r="E227" s="118">
        <v>1</v>
      </c>
      <c r="F227" s="1"/>
    </row>
    <row r="228" spans="2:6" ht="15" customHeight="1" x14ac:dyDescent="0.2">
      <c r="B228" s="53" t="str">
        <f>ORÇAMENTO!B118</f>
        <v>12.6</v>
      </c>
      <c r="C228" s="72" t="str">
        <f>ORÇAMENTO!E118</f>
        <v>BANCO DE CONCRETO - TIPO 1</v>
      </c>
      <c r="D228" s="57" t="str">
        <f>ORÇAMENTO!G118</f>
        <v>un</v>
      </c>
      <c r="E228" s="69" t="s">
        <v>22</v>
      </c>
      <c r="F228" s="1"/>
    </row>
    <row r="229" spans="2:6" ht="15" customHeight="1" x14ac:dyDescent="0.2">
      <c r="B229" s="11" t="s">
        <v>50</v>
      </c>
      <c r="C229" s="49" t="s">
        <v>312</v>
      </c>
      <c r="D229" s="62" t="s">
        <v>28</v>
      </c>
      <c r="E229" s="59">
        <v>3</v>
      </c>
      <c r="F229" s="1"/>
    </row>
    <row r="230" spans="2:6" ht="15" customHeight="1" thickBot="1" x14ac:dyDescent="0.25">
      <c r="B230" s="345" t="s">
        <v>204</v>
      </c>
      <c r="C230" s="346"/>
      <c r="D230" s="347"/>
      <c r="E230" s="46">
        <f>E229</f>
        <v>3</v>
      </c>
      <c r="F230" s="1"/>
    </row>
    <row r="231" spans="2:6" ht="15" customHeight="1" x14ac:dyDescent="0.2">
      <c r="B231" s="53" t="str">
        <f>ORÇAMENTO!B119</f>
        <v>12.7</v>
      </c>
      <c r="C231" s="72" t="str">
        <f>ORÇAMENTO!E119</f>
        <v>BANCO DE CONCRETO - TIPO 2</v>
      </c>
      <c r="D231" s="57" t="str">
        <f>ORÇAMENTO!G119</f>
        <v>un</v>
      </c>
      <c r="E231" s="69" t="s">
        <v>22</v>
      </c>
      <c r="F231" s="1"/>
    </row>
    <row r="232" spans="2:6" ht="15" customHeight="1" x14ac:dyDescent="0.2">
      <c r="B232" s="11" t="s">
        <v>50</v>
      </c>
      <c r="C232" s="49" t="s">
        <v>312</v>
      </c>
      <c r="D232" s="62" t="s">
        <v>28</v>
      </c>
      <c r="E232" s="59">
        <v>1</v>
      </c>
      <c r="F232" s="1"/>
    </row>
    <row r="233" spans="2:6" ht="15" customHeight="1" thickBot="1" x14ac:dyDescent="0.25">
      <c r="B233" s="345" t="s">
        <v>204</v>
      </c>
      <c r="C233" s="346"/>
      <c r="D233" s="347"/>
      <c r="E233" s="46">
        <f>E232</f>
        <v>1</v>
      </c>
      <c r="F233" s="1"/>
    </row>
    <row r="234" spans="2:6" ht="15" customHeight="1" x14ac:dyDescent="0.2">
      <c r="B234" s="53" t="str">
        <f>ORÇAMENTO!B120</f>
        <v>12.8</v>
      </c>
      <c r="C234" s="72" t="str">
        <f>ORÇAMENTO!E120</f>
        <v>BANCO DE CONCRETO - TIPO 3</v>
      </c>
      <c r="D234" s="57" t="str">
        <f>ORÇAMENTO!G120</f>
        <v>un</v>
      </c>
      <c r="E234" s="69" t="s">
        <v>22</v>
      </c>
      <c r="F234" s="1"/>
    </row>
    <row r="235" spans="2:6" ht="15" customHeight="1" x14ac:dyDescent="0.2">
      <c r="B235" s="11" t="s">
        <v>50</v>
      </c>
      <c r="C235" s="49" t="s">
        <v>312</v>
      </c>
      <c r="D235" s="62" t="s">
        <v>28</v>
      </c>
      <c r="E235" s="59">
        <v>5</v>
      </c>
      <c r="F235" s="1"/>
    </row>
    <row r="236" spans="2:6" ht="15" customHeight="1" thickBot="1" x14ac:dyDescent="0.25">
      <c r="B236" s="345" t="s">
        <v>204</v>
      </c>
      <c r="C236" s="346"/>
      <c r="D236" s="347"/>
      <c r="E236" s="46">
        <f>E235</f>
        <v>5</v>
      </c>
      <c r="F236" s="1"/>
    </row>
    <row r="237" spans="2:6" ht="15" customHeight="1" x14ac:dyDescent="0.2">
      <c r="B237" s="53" t="str">
        <f>ORÇAMENTO!B121</f>
        <v>12.9</v>
      </c>
      <c r="C237" s="72" t="str">
        <f>ORÇAMENTO!E121</f>
        <v>PLANTIO DE PALMEIRA COM ALTURA DE MUDA MENOR OU IGUAL A 2,00 M. AF_05/2018</v>
      </c>
      <c r="D237" s="57" t="str">
        <f>ORÇAMENTO!G121</f>
        <v>un</v>
      </c>
      <c r="E237" s="69" t="s">
        <v>22</v>
      </c>
      <c r="F237" s="1"/>
    </row>
    <row r="238" spans="2:6" ht="15" customHeight="1" x14ac:dyDescent="0.2">
      <c r="B238" s="53"/>
      <c r="C238" s="49" t="s">
        <v>180</v>
      </c>
      <c r="D238" s="62" t="s">
        <v>28</v>
      </c>
      <c r="E238" s="59">
        <v>10</v>
      </c>
      <c r="F238" s="1"/>
    </row>
    <row r="239" spans="2:6" ht="15" customHeight="1" thickBot="1" x14ac:dyDescent="0.25">
      <c r="B239" s="345" t="s">
        <v>58</v>
      </c>
      <c r="C239" s="346"/>
      <c r="D239" s="347"/>
      <c r="E239" s="46">
        <f>E238</f>
        <v>10</v>
      </c>
      <c r="F239" s="1"/>
    </row>
    <row r="240" spans="2:6" ht="15" customHeight="1" x14ac:dyDescent="0.2">
      <c r="B240" s="53" t="str">
        <f>ORÇAMENTO!B122</f>
        <v>12.10</v>
      </c>
      <c r="C240" s="73" t="str">
        <f>ORÇAMENTO!E122</f>
        <v>MUDA DE ARBUSTO FLORIFERO, CLUSIA/GARDENIA/MOREIA BRANCA/ AZALEIA OU EQUIVALENTE DA REGIAO, H= *50 A 70* CM</v>
      </c>
      <c r="D240" s="57" t="str">
        <f>ORÇAMENTO!G122</f>
        <v>un</v>
      </c>
      <c r="E240" s="69" t="s">
        <v>22</v>
      </c>
      <c r="F240" s="1"/>
    </row>
    <row r="241" spans="2:6" ht="15" customHeight="1" x14ac:dyDescent="0.2">
      <c r="B241" s="53"/>
      <c r="C241" s="49" t="s">
        <v>373</v>
      </c>
      <c r="D241" s="62" t="s">
        <v>28</v>
      </c>
      <c r="E241" s="59">
        <f>5*25</f>
        <v>125</v>
      </c>
      <c r="F241" s="1"/>
    </row>
    <row r="242" spans="2:6" ht="15" customHeight="1" thickBot="1" x14ac:dyDescent="0.25">
      <c r="B242" s="345" t="s">
        <v>58</v>
      </c>
      <c r="C242" s="346"/>
      <c r="D242" s="347"/>
      <c r="E242" s="46">
        <f>E241</f>
        <v>125</v>
      </c>
      <c r="F242" s="1"/>
    </row>
    <row r="243" spans="2:6" ht="30" customHeight="1" x14ac:dyDescent="0.2">
      <c r="B243" s="44" t="str">
        <f>ORÇAMENTO!B123</f>
        <v>12.11</v>
      </c>
      <c r="C243" s="45" t="str">
        <f>ORÇAMENTO!E123</f>
        <v>PASSARELA FABRICADA EM PERFIL I DE 8 POLEGADAS, GUARDA-CORPO EM TUBO DE AÇO CARBONO E PISO EM PLACA WALL</v>
      </c>
      <c r="D243" s="44" t="str">
        <f>ORÇAMENTO!G123</f>
        <v>un</v>
      </c>
      <c r="E243" s="44" t="s">
        <v>22</v>
      </c>
      <c r="F243" s="1"/>
    </row>
    <row r="244" spans="2:6" ht="15" customHeight="1" x14ac:dyDescent="0.2">
      <c r="B244" s="53"/>
      <c r="C244" s="49" t="s">
        <v>168</v>
      </c>
      <c r="D244" s="62" t="s">
        <v>28</v>
      </c>
      <c r="E244" s="59">
        <v>1</v>
      </c>
      <c r="F244" s="1"/>
    </row>
    <row r="245" spans="2:6" ht="15" customHeight="1" thickBot="1" x14ac:dyDescent="0.25">
      <c r="B245" s="345" t="s">
        <v>58</v>
      </c>
      <c r="C245" s="346"/>
      <c r="D245" s="347"/>
      <c r="E245" s="46">
        <f>E244</f>
        <v>1</v>
      </c>
      <c r="F245" s="1"/>
    </row>
    <row r="246" spans="2:6" ht="30" customHeight="1" x14ac:dyDescent="0.2">
      <c r="B246" s="44" t="str">
        <f>ORÇAMENTO!B124</f>
        <v>12.12</v>
      </c>
      <c r="C246" s="45" t="str">
        <f>ORÇAMENTO!E124</f>
        <v>INSTALAÇÃO DE LIXEIRA METÁLICA DUPLA, CAPACIDADE DE 60 L, EM TUBO DE AÇO CARBONO E CESTOS EM CHAPA DE AÇO COM PINTURA ELETROSTÁTICA, SOBRE SOLO. AF_11/2021</v>
      </c>
      <c r="D246" s="44" t="str">
        <f>ORÇAMENTO!G124</f>
        <v>un</v>
      </c>
      <c r="E246" s="44" t="s">
        <v>22</v>
      </c>
      <c r="F246" s="1"/>
    </row>
    <row r="247" spans="2:6" ht="15" customHeight="1" x14ac:dyDescent="0.2">
      <c r="B247" s="53"/>
      <c r="C247" s="49" t="s">
        <v>168</v>
      </c>
      <c r="D247" s="62" t="s">
        <v>28</v>
      </c>
      <c r="E247" s="59">
        <v>6</v>
      </c>
      <c r="F247" s="1"/>
    </row>
    <row r="248" spans="2:6" ht="15" customHeight="1" thickBot="1" x14ac:dyDescent="0.25">
      <c r="B248" s="345" t="s">
        <v>58</v>
      </c>
      <c r="C248" s="346"/>
      <c r="D248" s="347"/>
      <c r="E248" s="46">
        <f>E247</f>
        <v>6</v>
      </c>
      <c r="F248" s="1"/>
    </row>
    <row r="249" spans="2:6" ht="15" customHeight="1" x14ac:dyDescent="0.2">
      <c r="B249" s="113" t="str">
        <f>ORÇAMENTO!B125</f>
        <v>12.13</v>
      </c>
      <c r="C249" s="122" t="str">
        <f>ORÇAMENTO!E125</f>
        <v xml:space="preserve">MEIO FIO COM SARJETA - MFU02 </v>
      </c>
      <c r="D249" s="123" t="str">
        <f>ORÇAMENTO!G125</f>
        <v>m</v>
      </c>
      <c r="E249" s="114" t="s">
        <v>22</v>
      </c>
      <c r="F249" s="1"/>
    </row>
    <row r="250" spans="2:6" ht="15" customHeight="1" x14ac:dyDescent="0.2">
      <c r="B250" s="113"/>
      <c r="C250" s="115" t="s">
        <v>218</v>
      </c>
      <c r="D250" s="116" t="s">
        <v>86</v>
      </c>
      <c r="E250" s="117">
        <f>6.9+4.4+4.2+4.9+5.4+5+5.5+6.1+10.04+4.2+6.2+3.4+4.8+3.1+3.9+5.7+5.44+7+13.07</f>
        <v>109.25</v>
      </c>
      <c r="F250" s="1"/>
    </row>
    <row r="251" spans="2:6" ht="15" customHeight="1" x14ac:dyDescent="0.2">
      <c r="B251" s="53"/>
      <c r="C251" s="49" t="s">
        <v>219</v>
      </c>
      <c r="D251" s="62" t="s">
        <v>86</v>
      </c>
      <c r="E251" s="59">
        <v>31.67</v>
      </c>
      <c r="F251" s="1"/>
    </row>
    <row r="252" spans="2:6" ht="15" customHeight="1" thickBot="1" x14ac:dyDescent="0.25">
      <c r="B252" s="342" t="s">
        <v>58</v>
      </c>
      <c r="C252" s="343"/>
      <c r="D252" s="344"/>
      <c r="E252" s="118">
        <f>SUM(E250:E251)</f>
        <v>140.92000000000002</v>
      </c>
      <c r="F252" s="1"/>
    </row>
    <row r="253" spans="2:6" ht="15" customHeight="1" x14ac:dyDescent="0.2">
      <c r="B253" s="113" t="str">
        <f>ORÇAMENTO!B126</f>
        <v>12.14</v>
      </c>
      <c r="C253" s="122" t="str">
        <f>ORÇAMENTO!E126</f>
        <v>RECOMPOSIÇÃO DE DRENAGEM SUPERFICIAL (AC/BC)</v>
      </c>
      <c r="D253" s="123" t="str">
        <f>ORÇAMENTO!G126</f>
        <v>m3</v>
      </c>
      <c r="E253" s="114" t="s">
        <v>22</v>
      </c>
      <c r="F253" s="1"/>
    </row>
    <row r="254" spans="2:6" ht="15" customHeight="1" x14ac:dyDescent="0.2">
      <c r="B254" s="113"/>
      <c r="C254" s="115" t="s">
        <v>314</v>
      </c>
      <c r="D254" s="116" t="s">
        <v>25</v>
      </c>
      <c r="E254" s="117">
        <f>40*2</f>
        <v>80</v>
      </c>
      <c r="F254" s="1"/>
    </row>
    <row r="255" spans="2:6" ht="15" customHeight="1" x14ac:dyDescent="0.2">
      <c r="B255" s="53"/>
      <c r="C255" s="49" t="s">
        <v>315</v>
      </c>
      <c r="D255" s="62" t="s">
        <v>86</v>
      </c>
      <c r="E255" s="59">
        <v>0.4</v>
      </c>
      <c r="F255" s="1"/>
    </row>
    <row r="256" spans="2:6" ht="15" customHeight="1" thickBot="1" x14ac:dyDescent="0.25">
      <c r="B256" s="342" t="s">
        <v>58</v>
      </c>
      <c r="C256" s="343"/>
      <c r="D256" s="344"/>
      <c r="E256" s="118">
        <f>E254*E255</f>
        <v>32</v>
      </c>
      <c r="F256" s="1"/>
    </row>
    <row r="257" spans="2:8" ht="15" customHeight="1" x14ac:dyDescent="0.2">
      <c r="B257" s="348" t="s">
        <v>171</v>
      </c>
      <c r="C257" s="348"/>
      <c r="D257" s="348"/>
      <c r="E257" s="221"/>
      <c r="F257" s="74"/>
      <c r="G257" s="75"/>
      <c r="H257" s="76"/>
    </row>
    <row r="258" spans="2:8" ht="15" customHeight="1" x14ac:dyDescent="0.2">
      <c r="B258" s="473"/>
      <c r="C258" s="474"/>
      <c r="D258" s="474"/>
      <c r="E258" s="475"/>
      <c r="F258" s="1"/>
    </row>
    <row r="259" spans="2:8" ht="15" customHeight="1" x14ac:dyDescent="0.2">
      <c r="B259" s="473"/>
      <c r="C259" s="474"/>
      <c r="D259" s="474"/>
      <c r="E259" s="475"/>
      <c r="F259" s="1"/>
    </row>
    <row r="260" spans="2:8" ht="15" customHeight="1" x14ac:dyDescent="0.2">
      <c r="B260" s="473"/>
      <c r="C260" s="474"/>
      <c r="D260" s="474"/>
      <c r="E260" s="475"/>
      <c r="F260" s="1"/>
    </row>
    <row r="261" spans="2:8" ht="15" customHeight="1" x14ac:dyDescent="0.2">
      <c r="B261" s="473" t="s">
        <v>382</v>
      </c>
      <c r="C261" s="474"/>
      <c r="D261" s="474"/>
      <c r="E261" s="475"/>
      <c r="F261" s="1"/>
    </row>
    <row r="262" spans="2:8" ht="15" customHeight="1" x14ac:dyDescent="0.2">
      <c r="B262" s="476" t="s">
        <v>381</v>
      </c>
      <c r="C262" s="477"/>
      <c r="D262" s="477"/>
      <c r="E262" s="478"/>
      <c r="F262" s="1"/>
    </row>
    <row r="263" spans="2:8" ht="15" customHeight="1" x14ac:dyDescent="0.2">
      <c r="B263" s="473" t="s">
        <v>369</v>
      </c>
      <c r="C263" s="474"/>
      <c r="D263" s="474"/>
      <c r="E263" s="475"/>
      <c r="F263" s="1"/>
    </row>
    <row r="264" spans="2:8" ht="15" customHeight="1" x14ac:dyDescent="0.2">
      <c r="B264" s="479" t="s">
        <v>394</v>
      </c>
      <c r="C264" s="480"/>
      <c r="D264" s="480"/>
      <c r="E264" s="481"/>
      <c r="F264" s="1"/>
    </row>
    <row r="265" spans="2:8" x14ac:dyDescent="0.2">
      <c r="B265" s="296"/>
      <c r="C265" s="297"/>
      <c r="D265" s="296"/>
      <c r="E265" s="31"/>
      <c r="F265" s="74"/>
      <c r="G265" s="32"/>
      <c r="H265" s="299"/>
    </row>
  </sheetData>
  <sheetProtection algorithmName="SHA-512" hashValue="t/czzGV3s9UNIBIamTzqLonSvJjaLUzmTgiIWEwCaT3K0oVE7tGTlrJv+PtBVPqH6cNWJIMZ5cgVOMkZEZKcpw==" saltValue="/piPtC/uIFPHB6cSIExxHA==" spinCount="100000" sheet="1" selectLockedCells="1"/>
  <mergeCells count="64">
    <mergeCell ref="B162:D162"/>
    <mergeCell ref="B174:D174"/>
    <mergeCell ref="B92:D92"/>
    <mergeCell ref="B81:D81"/>
    <mergeCell ref="B122:D122"/>
    <mergeCell ref="B119:D119"/>
    <mergeCell ref="B48:D48"/>
    <mergeCell ref="B53:D53"/>
    <mergeCell ref="B64:D64"/>
    <mergeCell ref="B74:D74"/>
    <mergeCell ref="B98:D98"/>
    <mergeCell ref="B85:D85"/>
    <mergeCell ref="B198:D198"/>
    <mergeCell ref="B201:D201"/>
    <mergeCell ref="B204:D204"/>
    <mergeCell ref="B2:D3"/>
    <mergeCell ref="B77:D77"/>
    <mergeCell ref="B43:D43"/>
    <mergeCell ref="B56:D56"/>
    <mergeCell ref="B18:D18"/>
    <mergeCell ref="B22:D22"/>
    <mergeCell ref="B25:D25"/>
    <mergeCell ref="B68:D68"/>
    <mergeCell ref="B38:D38"/>
    <mergeCell ref="B59:D59"/>
    <mergeCell ref="B29:D29"/>
    <mergeCell ref="B33:D33"/>
    <mergeCell ref="B8:B10"/>
    <mergeCell ref="B218:D218"/>
    <mergeCell ref="B212:D212"/>
    <mergeCell ref="B215:D215"/>
    <mergeCell ref="B207:D207"/>
    <mergeCell ref="B89:D89"/>
    <mergeCell ref="B101:D101"/>
    <mergeCell ref="B171:D171"/>
    <mergeCell ref="B107:D107"/>
    <mergeCell ref="B156:D156"/>
    <mergeCell ref="B188:D188"/>
    <mergeCell ref="B192:D192"/>
    <mergeCell ref="B178:D178"/>
    <mergeCell ref="B115:D115"/>
    <mergeCell ref="B111:D111"/>
    <mergeCell ref="B168:D168"/>
    <mergeCell ref="B184:D184"/>
    <mergeCell ref="B259:E259"/>
    <mergeCell ref="B261:E261"/>
    <mergeCell ref="B262:E262"/>
    <mergeCell ref="B263:E263"/>
    <mergeCell ref="B264:E264"/>
    <mergeCell ref="B260:E260"/>
    <mergeCell ref="B252:D252"/>
    <mergeCell ref="B258:E258"/>
    <mergeCell ref="B221:D221"/>
    <mergeCell ref="B257:D257"/>
    <mergeCell ref="B227:D227"/>
    <mergeCell ref="B242:D242"/>
    <mergeCell ref="B233:D233"/>
    <mergeCell ref="B236:D236"/>
    <mergeCell ref="B256:D256"/>
    <mergeCell ref="B224:D224"/>
    <mergeCell ref="B248:D248"/>
    <mergeCell ref="B239:D239"/>
    <mergeCell ref="B245:D245"/>
    <mergeCell ref="B230:D230"/>
  </mergeCells>
  <phoneticPr fontId="4" type="noConversion"/>
  <pageMargins left="0.78740157480314965" right="0.6692913385826772" top="0.78740157480314965" bottom="0.39370078740157483" header="0.31496062992125984" footer="0.31496062992125984"/>
  <pageSetup paperSize="9" scale="54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="115" zoomScaleNormal="115" workbookViewId="0">
      <selection activeCell="E22" sqref="E22"/>
    </sheetView>
  </sheetViews>
  <sheetFormatPr defaultColWidth="9.140625" defaultRowHeight="12.75" x14ac:dyDescent="0.2"/>
  <cols>
    <col min="1" max="1" width="2.7109375" style="482" customWidth="1"/>
    <col min="2" max="2" width="11" style="482" bestFit="1" customWidth="1"/>
    <col min="3" max="3" width="10.7109375" style="482" bestFit="1" customWidth="1"/>
    <col min="4" max="4" width="13.42578125" style="482" bestFit="1" customWidth="1"/>
    <col min="5" max="5" width="70.28515625" style="483" customWidth="1"/>
    <col min="6" max="6" width="9.140625" style="482" bestFit="1" customWidth="1"/>
    <col min="7" max="7" width="6.28515625" style="482" bestFit="1" customWidth="1"/>
    <col min="8" max="8" width="12.42578125" style="482" bestFit="1" customWidth="1"/>
    <col min="9" max="9" width="16.28515625" style="482" bestFit="1" customWidth="1"/>
    <col min="10" max="10" width="15.28515625" style="482" bestFit="1" customWidth="1"/>
    <col min="11" max="16384" width="9.140625" style="482"/>
  </cols>
  <sheetData>
    <row r="1" spans="2:10" ht="13.9" customHeight="1" x14ac:dyDescent="0.2"/>
    <row r="2" spans="2:10" ht="13.9" customHeight="1" x14ac:dyDescent="0.2">
      <c r="B2" s="510"/>
      <c r="C2" s="511"/>
      <c r="D2" s="369" t="s">
        <v>181</v>
      </c>
      <c r="E2" s="325"/>
      <c r="F2" s="325"/>
      <c r="G2" s="325"/>
      <c r="H2" s="325"/>
      <c r="I2" s="325"/>
      <c r="J2" s="326"/>
    </row>
    <row r="3" spans="2:10" ht="13.9" customHeight="1" x14ac:dyDescent="0.2">
      <c r="B3" s="473"/>
      <c r="C3" s="475"/>
      <c r="D3" s="370"/>
      <c r="E3" s="327"/>
      <c r="F3" s="327"/>
      <c r="G3" s="327"/>
      <c r="H3" s="327"/>
      <c r="I3" s="327"/>
      <c r="J3" s="328"/>
    </row>
    <row r="4" spans="2:10" ht="13.9" customHeight="1" x14ac:dyDescent="0.2">
      <c r="B4" s="473"/>
      <c r="C4" s="475"/>
      <c r="D4" s="190" t="s">
        <v>32</v>
      </c>
      <c r="E4" s="365" t="s">
        <v>0</v>
      </c>
      <c r="F4" s="365"/>
      <c r="G4" s="365"/>
      <c r="H4" s="365"/>
      <c r="I4" s="365"/>
      <c r="J4" s="366"/>
    </row>
    <row r="5" spans="2:10" ht="13.9" customHeight="1" x14ac:dyDescent="0.2">
      <c r="B5" s="497"/>
      <c r="C5" s="498"/>
      <c r="D5" s="302" t="s">
        <v>34</v>
      </c>
      <c r="E5" s="365" t="str">
        <f>ORÇAMENTO!E5</f>
        <v>CONSTRUÇÃO DA PRAÇA DO CÓRREGO DO ALMOÇO</v>
      </c>
      <c r="F5" s="365"/>
      <c r="G5" s="365"/>
      <c r="H5" s="365"/>
      <c r="I5" s="365"/>
      <c r="J5" s="366"/>
    </row>
    <row r="6" spans="2:10" ht="13.9" customHeight="1" x14ac:dyDescent="0.2">
      <c r="B6" s="473"/>
      <c r="C6" s="475"/>
      <c r="D6" s="190" t="s">
        <v>33</v>
      </c>
      <c r="E6" s="365">
        <f>ORÇAMENTO!E6</f>
        <v>2023015268</v>
      </c>
      <c r="F6" s="365"/>
      <c r="G6" s="365"/>
      <c r="H6" s="365"/>
      <c r="I6" s="365"/>
      <c r="J6" s="366"/>
    </row>
    <row r="7" spans="2:10" ht="13.9" customHeight="1" x14ac:dyDescent="0.2">
      <c r="B7" s="473"/>
      <c r="C7" s="475"/>
      <c r="D7" s="190" t="s">
        <v>35</v>
      </c>
      <c r="E7" s="365" t="str">
        <f>ORÇAMENTO!E7</f>
        <v>ÁREA DE USO PÚBLICO SITUADA À RUA ALDEMAR FERRUGEM COM A AVENIDA NICOLAU ABRÃO</v>
      </c>
      <c r="F7" s="365"/>
      <c r="G7" s="365"/>
      <c r="H7" s="365"/>
      <c r="I7" s="365"/>
      <c r="J7" s="366"/>
    </row>
    <row r="8" spans="2:10" ht="13.9" customHeight="1" x14ac:dyDescent="0.2">
      <c r="B8" s="473"/>
      <c r="C8" s="475"/>
      <c r="D8" s="355" t="s">
        <v>36</v>
      </c>
      <c r="E8" s="365" t="str">
        <f>ORÇAMENTO!E8</f>
        <v>TABELA GOINFRA T200 - CUSTOS DE OBRAS CIVIS - MARÇO/2023 - COM DESONERAÇÃO - DATA BASE: 01/03/2023</v>
      </c>
      <c r="F8" s="365"/>
      <c r="G8" s="365"/>
      <c r="H8" s="365"/>
      <c r="I8" s="365"/>
      <c r="J8" s="366"/>
    </row>
    <row r="9" spans="2:10" ht="13.9" customHeight="1" x14ac:dyDescent="0.2">
      <c r="B9" s="473"/>
      <c r="C9" s="475"/>
      <c r="D9" s="355"/>
      <c r="E9" s="365" t="str">
        <f>ORÇAMENTO!E9</f>
        <v>TABELA SINAPI PCI.817.01 - CUSTO DE COMPOSIÇÕES - SINTÉTICO - MARÇO/2023 - COM DESONERAÇÃO - DATA BASE: 13/04/2023</v>
      </c>
      <c r="F9" s="365"/>
      <c r="G9" s="365"/>
      <c r="H9" s="365"/>
      <c r="I9" s="365"/>
      <c r="J9" s="366"/>
    </row>
    <row r="10" spans="2:10" ht="13.9" customHeight="1" x14ac:dyDescent="0.2">
      <c r="B10" s="458"/>
      <c r="C10" s="512"/>
      <c r="D10" s="355"/>
      <c r="E10" s="300" t="str">
        <f>ORÇAMENTO!E10</f>
        <v>TABELA DE TERRAPLENAGEM, PAVIMENTAÇÃO E OBRAS DE ARTE ESPECIAIS - T198 - MAR/23 - COM DESONERAÇÃO - DATA BASE: 01/03/2023</v>
      </c>
      <c r="F10" s="300"/>
      <c r="G10" s="300"/>
      <c r="H10" s="300"/>
      <c r="I10" s="300"/>
      <c r="J10" s="301"/>
    </row>
    <row r="11" spans="2:10" ht="13.9" customHeight="1" x14ac:dyDescent="0.2">
      <c r="B11" s="473"/>
      <c r="C11" s="475"/>
      <c r="D11" s="190" t="s">
        <v>37</v>
      </c>
      <c r="E11" s="367" t="str">
        <f>ORÇAMENTO!E11</f>
        <v>02 DE MAIO DE 2023</v>
      </c>
      <c r="F11" s="367"/>
      <c r="G11" s="367"/>
      <c r="H11" s="367"/>
      <c r="I11" s="367"/>
      <c r="J11" s="368"/>
    </row>
    <row r="12" spans="2:10" ht="13.9" customHeight="1" x14ac:dyDescent="0.2">
      <c r="B12" s="479"/>
      <c r="C12" s="481"/>
      <c r="D12" s="193" t="s">
        <v>27</v>
      </c>
      <c r="E12" s="358">
        <f>ORÇAMENTO!E12</f>
        <v>0.24929999999999999</v>
      </c>
      <c r="F12" s="358"/>
      <c r="G12" s="358"/>
      <c r="H12" s="358"/>
      <c r="I12" s="358"/>
      <c r="J12" s="359"/>
    </row>
    <row r="13" spans="2:10" ht="13.9" customHeight="1" x14ac:dyDescent="0.2">
      <c r="B13" s="3"/>
      <c r="C13" s="3"/>
      <c r="D13" s="190"/>
      <c r="E13" s="194"/>
      <c r="F13" s="194"/>
      <c r="G13" s="194"/>
      <c r="H13" s="194"/>
      <c r="I13" s="194"/>
      <c r="J13" s="194"/>
    </row>
    <row r="14" spans="2:10" ht="13.9" customHeight="1" x14ac:dyDescent="0.2">
      <c r="B14" s="205" t="s">
        <v>188</v>
      </c>
      <c r="C14" s="362" t="s">
        <v>325</v>
      </c>
      <c r="D14" s="360"/>
      <c r="E14" s="360"/>
      <c r="F14" s="360"/>
      <c r="G14" s="360"/>
      <c r="H14" s="360"/>
      <c r="I14" s="360"/>
      <c r="J14" s="361"/>
    </row>
    <row r="15" spans="2:10" ht="13.9" customHeight="1" x14ac:dyDescent="0.2">
      <c r="B15" s="212" t="s">
        <v>1</v>
      </c>
      <c r="C15" s="214" t="s">
        <v>30</v>
      </c>
      <c r="D15" s="212" t="s">
        <v>31</v>
      </c>
      <c r="E15" s="219" t="s">
        <v>182</v>
      </c>
      <c r="F15" s="208" t="s">
        <v>3</v>
      </c>
      <c r="G15" s="209" t="s">
        <v>4</v>
      </c>
      <c r="H15" s="206" t="s">
        <v>5</v>
      </c>
      <c r="I15" s="211" t="s">
        <v>6</v>
      </c>
      <c r="J15" s="210" t="s">
        <v>7</v>
      </c>
    </row>
    <row r="16" spans="2:10" ht="13.9" customHeight="1" x14ac:dyDescent="0.2">
      <c r="B16" s="203" t="s">
        <v>63</v>
      </c>
      <c r="C16" s="142" t="s">
        <v>8</v>
      </c>
      <c r="D16" s="142">
        <v>60305</v>
      </c>
      <c r="E16" s="216" t="s">
        <v>189</v>
      </c>
      <c r="F16" s="144">
        <f>(((15*3.2)*3)*0.617)*1.1</f>
        <v>97.732800000000012</v>
      </c>
      <c r="G16" s="142" t="s">
        <v>183</v>
      </c>
      <c r="H16" s="509">
        <v>9.6300000000000008</v>
      </c>
      <c r="I16" s="509">
        <v>2.44</v>
      </c>
      <c r="J16" s="204">
        <f>F16*(I16+H16)</f>
        <v>1179.6348960000003</v>
      </c>
    </row>
    <row r="17" spans="1:10" ht="13.9" customHeight="1" x14ac:dyDescent="0.2">
      <c r="B17" s="195" t="s">
        <v>157</v>
      </c>
      <c r="C17" s="11" t="s">
        <v>8</v>
      </c>
      <c r="D17" s="11">
        <v>60304</v>
      </c>
      <c r="E17" s="12" t="s">
        <v>190</v>
      </c>
      <c r="F17" s="9">
        <f>(((15*3.25)*3)*0.395)*1.1</f>
        <v>63.545625000000008</v>
      </c>
      <c r="G17" s="11" t="s">
        <v>184</v>
      </c>
      <c r="H17" s="506">
        <v>10.07</v>
      </c>
      <c r="I17" s="506">
        <v>2.44</v>
      </c>
      <c r="J17" s="196">
        <f>F17*(I17+H17)</f>
        <v>794.95576875000006</v>
      </c>
    </row>
    <row r="18" spans="1:10" ht="13.9" customHeight="1" x14ac:dyDescent="0.2">
      <c r="B18" s="195" t="s">
        <v>64</v>
      </c>
      <c r="C18" s="11" t="s">
        <v>8</v>
      </c>
      <c r="D18" s="11">
        <v>60303</v>
      </c>
      <c r="E18" s="12" t="s">
        <v>191</v>
      </c>
      <c r="F18" s="9">
        <f>(((16*3.4)*3)*0.245)*1.1</f>
        <v>43.982399999999998</v>
      </c>
      <c r="G18" s="11" t="s">
        <v>184</v>
      </c>
      <c r="H18" s="506">
        <v>10.23</v>
      </c>
      <c r="I18" s="506">
        <v>2.44</v>
      </c>
      <c r="J18" s="196">
        <f>F18*(I18+H18)</f>
        <v>557.25700799999993</v>
      </c>
    </row>
    <row r="19" spans="1:10" ht="28.15" customHeight="1" x14ac:dyDescent="0.2">
      <c r="B19" s="195" t="s">
        <v>65</v>
      </c>
      <c r="C19" s="11" t="s">
        <v>8</v>
      </c>
      <c r="D19" s="11">
        <v>60517</v>
      </c>
      <c r="E19" s="12" t="s">
        <v>185</v>
      </c>
      <c r="F19" s="9">
        <v>1.32</v>
      </c>
      <c r="G19" s="11" t="s">
        <v>24</v>
      </c>
      <c r="H19" s="506">
        <v>450.04</v>
      </c>
      <c r="I19" s="506">
        <v>63.95</v>
      </c>
      <c r="J19" s="196">
        <f>F19*(H19+I19)</f>
        <v>678.46680000000003</v>
      </c>
    </row>
    <row r="20" spans="1:10" ht="28.15" customHeight="1" x14ac:dyDescent="0.2">
      <c r="B20" s="195" t="s">
        <v>66</v>
      </c>
      <c r="C20" s="11" t="s">
        <v>8</v>
      </c>
      <c r="D20" s="11">
        <v>60802</v>
      </c>
      <c r="E20" s="12" t="s">
        <v>186</v>
      </c>
      <c r="F20" s="9">
        <v>1.32</v>
      </c>
      <c r="G20" s="11" t="s">
        <v>108</v>
      </c>
      <c r="H20" s="506">
        <v>0.1</v>
      </c>
      <c r="I20" s="506">
        <v>42.24</v>
      </c>
      <c r="J20" s="196">
        <f>F20*(H20+I20)</f>
        <v>55.88880000000001</v>
      </c>
    </row>
    <row r="21" spans="1:10" ht="13.9" customHeight="1" x14ac:dyDescent="0.2">
      <c r="B21" s="195" t="s">
        <v>67</v>
      </c>
      <c r="C21" s="11" t="s">
        <v>8</v>
      </c>
      <c r="D21" s="11">
        <v>60203</v>
      </c>
      <c r="E21" s="12" t="s">
        <v>192</v>
      </c>
      <c r="F21" s="9">
        <v>11.16</v>
      </c>
      <c r="G21" s="11" t="s">
        <v>25</v>
      </c>
      <c r="H21" s="506">
        <v>59.24</v>
      </c>
      <c r="I21" s="506">
        <v>35.5</v>
      </c>
      <c r="J21" s="196">
        <f>F21*(H21+I21)</f>
        <v>1057.2984000000001</v>
      </c>
    </row>
    <row r="22" spans="1:10" ht="13.9" customHeight="1" x14ac:dyDescent="0.2">
      <c r="B22" s="197" t="s">
        <v>193</v>
      </c>
      <c r="C22" s="191" t="s">
        <v>8</v>
      </c>
      <c r="D22" s="191">
        <v>271850</v>
      </c>
      <c r="E22" s="217" t="s">
        <v>194</v>
      </c>
      <c r="F22" s="192">
        <v>1.5</v>
      </c>
      <c r="G22" s="191" t="s">
        <v>86</v>
      </c>
      <c r="H22" s="508">
        <v>581.6</v>
      </c>
      <c r="I22" s="508">
        <v>0</v>
      </c>
      <c r="J22" s="198">
        <f t="shared" ref="J22:J23" si="0">F22*(H22+I22)</f>
        <v>872.40000000000009</v>
      </c>
    </row>
    <row r="23" spans="1:10" ht="13.9" customHeight="1" x14ac:dyDescent="0.2">
      <c r="B23" s="199" t="s">
        <v>206</v>
      </c>
      <c r="C23" s="200" t="s">
        <v>8</v>
      </c>
      <c r="D23" s="200">
        <v>260902</v>
      </c>
      <c r="E23" s="218" t="s">
        <v>307</v>
      </c>
      <c r="F23" s="201">
        <f>F21+(3*1.2)</f>
        <v>14.76</v>
      </c>
      <c r="G23" s="200" t="s">
        <v>25</v>
      </c>
      <c r="H23" s="507">
        <v>7.18</v>
      </c>
      <c r="I23" s="507">
        <v>4.28</v>
      </c>
      <c r="J23" s="202">
        <f t="shared" si="0"/>
        <v>169.14960000000002</v>
      </c>
    </row>
    <row r="24" spans="1:10" ht="13.9" customHeight="1" x14ac:dyDescent="0.2">
      <c r="B24" s="484" t="s">
        <v>187</v>
      </c>
      <c r="C24" s="485"/>
      <c r="D24" s="485"/>
      <c r="E24" s="485"/>
      <c r="F24" s="485"/>
      <c r="G24" s="485"/>
      <c r="H24" s="485"/>
      <c r="I24" s="486"/>
      <c r="J24" s="222">
        <f>SUM(J16:J23)</f>
        <v>5365.05127275</v>
      </c>
    </row>
    <row r="25" spans="1:10" ht="13.9" customHeight="1" x14ac:dyDescent="0.2"/>
    <row r="26" spans="1:10" ht="13.9" customHeight="1" x14ac:dyDescent="0.2">
      <c r="B26" s="205" t="s">
        <v>305</v>
      </c>
      <c r="C26" s="362" t="s">
        <v>306</v>
      </c>
      <c r="D26" s="360"/>
      <c r="E26" s="360"/>
      <c r="F26" s="360"/>
      <c r="G26" s="360"/>
      <c r="H26" s="360"/>
      <c r="I26" s="360"/>
      <c r="J26" s="361"/>
    </row>
    <row r="27" spans="1:10" ht="13.9" customHeight="1" x14ac:dyDescent="0.2">
      <c r="B27" s="212" t="s">
        <v>1</v>
      </c>
      <c r="C27" s="214" t="s">
        <v>30</v>
      </c>
      <c r="D27" s="212" t="s">
        <v>31</v>
      </c>
      <c r="E27" s="219" t="s">
        <v>182</v>
      </c>
      <c r="F27" s="208" t="s">
        <v>3</v>
      </c>
      <c r="G27" s="209" t="s">
        <v>4</v>
      </c>
      <c r="H27" s="206" t="s">
        <v>5</v>
      </c>
      <c r="I27" s="211" t="s">
        <v>6</v>
      </c>
      <c r="J27" s="210" t="s">
        <v>7</v>
      </c>
    </row>
    <row r="28" spans="1:10" ht="13.9" customHeight="1" x14ac:dyDescent="0.2">
      <c r="A28" s="487"/>
      <c r="B28" s="195" t="s">
        <v>63</v>
      </c>
      <c r="C28" s="11" t="s">
        <v>8</v>
      </c>
      <c r="D28" s="11">
        <v>60304</v>
      </c>
      <c r="E28" s="12" t="s">
        <v>190</v>
      </c>
      <c r="F28" s="9">
        <f>99.6*0.395</f>
        <v>39.341999999999999</v>
      </c>
      <c r="G28" s="11" t="s">
        <v>184</v>
      </c>
      <c r="H28" s="506">
        <v>10.07</v>
      </c>
      <c r="I28" s="506">
        <v>2.44</v>
      </c>
      <c r="J28" s="215">
        <f>F28*(I28+H28)</f>
        <v>492.16841999999997</v>
      </c>
    </row>
    <row r="29" spans="1:10" ht="13.9" customHeight="1" x14ac:dyDescent="0.2">
      <c r="A29" s="487"/>
      <c r="B29" s="195" t="s">
        <v>157</v>
      </c>
      <c r="C29" s="11" t="s">
        <v>8</v>
      </c>
      <c r="D29" s="11">
        <v>60303</v>
      </c>
      <c r="E29" s="12" t="s">
        <v>191</v>
      </c>
      <c r="F29" s="9">
        <f>145.7*0.245</f>
        <v>35.696499999999993</v>
      </c>
      <c r="G29" s="11" t="s">
        <v>184</v>
      </c>
      <c r="H29" s="506">
        <v>10.23</v>
      </c>
      <c r="I29" s="506">
        <v>2.44</v>
      </c>
      <c r="J29" s="196">
        <f>F29*(I29+H29)</f>
        <v>452.27465499999994</v>
      </c>
    </row>
    <row r="30" spans="1:10" ht="28.15" customHeight="1" x14ac:dyDescent="0.2">
      <c r="A30" s="487"/>
      <c r="B30" s="195" t="s">
        <v>64</v>
      </c>
      <c r="C30" s="11" t="s">
        <v>8</v>
      </c>
      <c r="D30" s="11">
        <v>60517</v>
      </c>
      <c r="E30" s="12" t="s">
        <v>185</v>
      </c>
      <c r="F30" s="9">
        <v>3.3378000000000001</v>
      </c>
      <c r="G30" s="11" t="s">
        <v>24</v>
      </c>
      <c r="H30" s="506">
        <v>450.04</v>
      </c>
      <c r="I30" s="506">
        <v>63.95</v>
      </c>
      <c r="J30" s="196">
        <f>F30*(H30+I30)</f>
        <v>1715.595822</v>
      </c>
    </row>
    <row r="31" spans="1:10" ht="28.15" customHeight="1" x14ac:dyDescent="0.2">
      <c r="A31" s="487"/>
      <c r="B31" s="195" t="s">
        <v>65</v>
      </c>
      <c r="C31" s="11" t="s">
        <v>8</v>
      </c>
      <c r="D31" s="11">
        <v>60802</v>
      </c>
      <c r="E31" s="12" t="s">
        <v>186</v>
      </c>
      <c r="F31" s="9">
        <v>3.3378000000000001</v>
      </c>
      <c r="G31" s="11" t="s">
        <v>108</v>
      </c>
      <c r="H31" s="506">
        <v>0.1</v>
      </c>
      <c r="I31" s="506">
        <v>42.24</v>
      </c>
      <c r="J31" s="196">
        <f>F31*(H31+I31)</f>
        <v>141.32245200000003</v>
      </c>
    </row>
    <row r="32" spans="1:10" ht="13.9" customHeight="1" x14ac:dyDescent="0.2">
      <c r="A32" s="487"/>
      <c r="B32" s="195" t="s">
        <v>66</v>
      </c>
      <c r="C32" s="11" t="s">
        <v>8</v>
      </c>
      <c r="D32" s="11">
        <v>60203</v>
      </c>
      <c r="E32" s="12" t="s">
        <v>192</v>
      </c>
      <c r="F32" s="9">
        <f>(0.202*4)+0.12+0.12+3.17+2.6+3.17+2.6</f>
        <v>12.587999999999999</v>
      </c>
      <c r="G32" s="11" t="s">
        <v>25</v>
      </c>
      <c r="H32" s="506">
        <v>59.24</v>
      </c>
      <c r="I32" s="506">
        <v>35.5</v>
      </c>
      <c r="J32" s="196">
        <f>F32*(H32+I32)</f>
        <v>1192.5871200000001</v>
      </c>
    </row>
    <row r="33" spans="1:10" ht="13.9" customHeight="1" x14ac:dyDescent="0.2">
      <c r="A33" s="487"/>
      <c r="B33" s="197" t="s">
        <v>67</v>
      </c>
      <c r="C33" s="191" t="s">
        <v>8</v>
      </c>
      <c r="D33" s="191">
        <v>260902</v>
      </c>
      <c r="E33" s="217" t="s">
        <v>307</v>
      </c>
      <c r="F33" s="192">
        <f>19.65</f>
        <v>19.649999999999999</v>
      </c>
      <c r="G33" s="191" t="s">
        <v>25</v>
      </c>
      <c r="H33" s="508">
        <v>7.18</v>
      </c>
      <c r="I33" s="508">
        <v>4.28</v>
      </c>
      <c r="J33" s="198">
        <f t="shared" ref="J33" si="1">F33*(H33+I33)</f>
        <v>225.18899999999999</v>
      </c>
    </row>
    <row r="34" spans="1:10" ht="13.9" customHeight="1" x14ac:dyDescent="0.2">
      <c r="B34" s="484" t="s">
        <v>187</v>
      </c>
      <c r="C34" s="485"/>
      <c r="D34" s="485"/>
      <c r="E34" s="485"/>
      <c r="F34" s="485"/>
      <c r="G34" s="485"/>
      <c r="H34" s="485"/>
      <c r="I34" s="486"/>
      <c r="J34" s="223">
        <f>SUM(J28:J33)</f>
        <v>4219.1374690000002</v>
      </c>
    </row>
    <row r="35" spans="1:10" ht="13.9" customHeight="1" x14ac:dyDescent="0.2"/>
    <row r="36" spans="1:10" ht="13.9" customHeight="1" x14ac:dyDescent="0.2">
      <c r="B36" s="220" t="s">
        <v>308</v>
      </c>
      <c r="C36" s="360" t="s">
        <v>309</v>
      </c>
      <c r="D36" s="360"/>
      <c r="E36" s="360"/>
      <c r="F36" s="360"/>
      <c r="G36" s="360"/>
      <c r="H36" s="360"/>
      <c r="I36" s="360"/>
      <c r="J36" s="361"/>
    </row>
    <row r="37" spans="1:10" ht="13.9" customHeight="1" x14ac:dyDescent="0.2">
      <c r="B37" s="212" t="s">
        <v>1</v>
      </c>
      <c r="C37" s="214" t="s">
        <v>30</v>
      </c>
      <c r="D37" s="212" t="s">
        <v>31</v>
      </c>
      <c r="E37" s="219" t="s">
        <v>182</v>
      </c>
      <c r="F37" s="208" t="s">
        <v>3</v>
      </c>
      <c r="G37" s="209" t="s">
        <v>4</v>
      </c>
      <c r="H37" s="206" t="s">
        <v>5</v>
      </c>
      <c r="I37" s="211" t="s">
        <v>6</v>
      </c>
      <c r="J37" s="210" t="s">
        <v>7</v>
      </c>
    </row>
    <row r="38" spans="1:10" ht="13.9" customHeight="1" x14ac:dyDescent="0.2">
      <c r="A38" s="487"/>
      <c r="B38" s="195" t="s">
        <v>63</v>
      </c>
      <c r="C38" s="11" t="s">
        <v>8</v>
      </c>
      <c r="D38" s="11">
        <v>60304</v>
      </c>
      <c r="E38" s="12" t="s">
        <v>190</v>
      </c>
      <c r="F38" s="9">
        <f>54.5*0.395</f>
        <v>21.5275</v>
      </c>
      <c r="G38" s="11" t="s">
        <v>184</v>
      </c>
      <c r="H38" s="506">
        <v>10.07</v>
      </c>
      <c r="I38" s="506">
        <v>2.44</v>
      </c>
      <c r="J38" s="215">
        <f>F38*(I38+H38)</f>
        <v>269.30902500000002</v>
      </c>
    </row>
    <row r="39" spans="1:10" ht="13.9" customHeight="1" x14ac:dyDescent="0.2">
      <c r="A39" s="487"/>
      <c r="B39" s="195" t="s">
        <v>157</v>
      </c>
      <c r="C39" s="11" t="s">
        <v>8</v>
      </c>
      <c r="D39" s="11">
        <v>60303</v>
      </c>
      <c r="E39" s="12" t="s">
        <v>191</v>
      </c>
      <c r="F39" s="9">
        <f>101.99*0.245</f>
        <v>24.987549999999999</v>
      </c>
      <c r="G39" s="11" t="s">
        <v>184</v>
      </c>
      <c r="H39" s="506">
        <v>10.23</v>
      </c>
      <c r="I39" s="506">
        <v>2.44</v>
      </c>
      <c r="J39" s="196">
        <f>F39*(I39+H39)</f>
        <v>316.59225849999996</v>
      </c>
    </row>
    <row r="40" spans="1:10" ht="28.15" customHeight="1" x14ac:dyDescent="0.2">
      <c r="A40" s="487"/>
      <c r="B40" s="195" t="s">
        <v>64</v>
      </c>
      <c r="C40" s="11" t="s">
        <v>8</v>
      </c>
      <c r="D40" s="11">
        <v>60517</v>
      </c>
      <c r="E40" s="12" t="s">
        <v>185</v>
      </c>
      <c r="F40" s="9">
        <f>(4.5*0.45*0.45)+(4.9*0.8*0.15)</f>
        <v>1.49925</v>
      </c>
      <c r="G40" s="11" t="s">
        <v>24</v>
      </c>
      <c r="H40" s="506">
        <v>450.04</v>
      </c>
      <c r="I40" s="506">
        <v>63.95</v>
      </c>
      <c r="J40" s="196">
        <f>F40*(H40+I40)</f>
        <v>770.59950749999996</v>
      </c>
    </row>
    <row r="41" spans="1:10" ht="28.15" customHeight="1" x14ac:dyDescent="0.2">
      <c r="A41" s="487"/>
      <c r="B41" s="195" t="s">
        <v>65</v>
      </c>
      <c r="C41" s="11" t="s">
        <v>8</v>
      </c>
      <c r="D41" s="11">
        <v>60802</v>
      </c>
      <c r="E41" s="12" t="s">
        <v>186</v>
      </c>
      <c r="F41" s="9">
        <f>F40</f>
        <v>1.49925</v>
      </c>
      <c r="G41" s="11" t="s">
        <v>108</v>
      </c>
      <c r="H41" s="506">
        <v>0.1</v>
      </c>
      <c r="I41" s="506">
        <v>42.24</v>
      </c>
      <c r="J41" s="196">
        <f>F41*(H41+I41)</f>
        <v>63.478245000000001</v>
      </c>
    </row>
    <row r="42" spans="1:10" ht="13.9" customHeight="1" x14ac:dyDescent="0.2">
      <c r="A42" s="487"/>
      <c r="B42" s="195" t="s">
        <v>66</v>
      </c>
      <c r="C42" s="11" t="s">
        <v>8</v>
      </c>
      <c r="D42" s="11">
        <v>60203</v>
      </c>
      <c r="E42" s="12" t="s">
        <v>192</v>
      </c>
      <c r="F42" s="9">
        <f>8.94</f>
        <v>8.94</v>
      </c>
      <c r="G42" s="11" t="s">
        <v>25</v>
      </c>
      <c r="H42" s="506">
        <v>59.24</v>
      </c>
      <c r="I42" s="506">
        <v>35.5</v>
      </c>
      <c r="J42" s="196">
        <f>F42*(H42+I42)</f>
        <v>846.97559999999999</v>
      </c>
    </row>
    <row r="43" spans="1:10" ht="13.15" customHeight="1" x14ac:dyDescent="0.2">
      <c r="A43" s="487"/>
      <c r="B43" s="199" t="s">
        <v>67</v>
      </c>
      <c r="C43" s="200" t="s">
        <v>8</v>
      </c>
      <c r="D43" s="200">
        <v>260902</v>
      </c>
      <c r="E43" s="218" t="s">
        <v>307</v>
      </c>
      <c r="F43" s="201">
        <v>11.31</v>
      </c>
      <c r="G43" s="200" t="s">
        <v>25</v>
      </c>
      <c r="H43" s="507">
        <v>7.18</v>
      </c>
      <c r="I43" s="507">
        <v>4.28</v>
      </c>
      <c r="J43" s="202">
        <f t="shared" ref="J43" si="2">F43*(H43+I43)</f>
        <v>129.61260000000001</v>
      </c>
    </row>
    <row r="44" spans="1:10" ht="13.9" customHeight="1" x14ac:dyDescent="0.2">
      <c r="B44" s="488" t="s">
        <v>187</v>
      </c>
      <c r="C44" s="489"/>
      <c r="D44" s="489"/>
      <c r="E44" s="489"/>
      <c r="F44" s="489"/>
      <c r="G44" s="489"/>
      <c r="H44" s="489"/>
      <c r="I44" s="489"/>
      <c r="J44" s="224">
        <f>SUM(J38:J43)</f>
        <v>2396.5672359999999</v>
      </c>
    </row>
    <row r="45" spans="1:10" ht="13.9" customHeight="1" x14ac:dyDescent="0.2"/>
    <row r="46" spans="1:10" ht="13.9" customHeight="1" x14ac:dyDescent="0.2">
      <c r="B46" s="205" t="s">
        <v>310</v>
      </c>
      <c r="C46" s="362" t="s">
        <v>311</v>
      </c>
      <c r="D46" s="360"/>
      <c r="E46" s="360"/>
      <c r="F46" s="360"/>
      <c r="G46" s="360"/>
      <c r="H46" s="360"/>
      <c r="I46" s="360"/>
      <c r="J46" s="361"/>
    </row>
    <row r="47" spans="1:10" ht="13.9" customHeight="1" x14ac:dyDescent="0.2">
      <c r="B47" s="212" t="s">
        <v>1</v>
      </c>
      <c r="C47" s="214" t="s">
        <v>30</v>
      </c>
      <c r="D47" s="212" t="s">
        <v>31</v>
      </c>
      <c r="E47" s="219" t="s">
        <v>182</v>
      </c>
      <c r="F47" s="208" t="s">
        <v>3</v>
      </c>
      <c r="G47" s="209" t="s">
        <v>4</v>
      </c>
      <c r="H47" s="206" t="s">
        <v>5</v>
      </c>
      <c r="I47" s="211" t="s">
        <v>6</v>
      </c>
      <c r="J47" s="210" t="s">
        <v>7</v>
      </c>
    </row>
    <row r="48" spans="1:10" ht="13.9" customHeight="1" x14ac:dyDescent="0.2">
      <c r="A48" s="487"/>
      <c r="B48" s="195" t="s">
        <v>63</v>
      </c>
      <c r="C48" s="11" t="s">
        <v>8</v>
      </c>
      <c r="D48" s="11">
        <v>60304</v>
      </c>
      <c r="E48" s="12" t="s">
        <v>190</v>
      </c>
      <c r="F48" s="9">
        <f>16*0.395</f>
        <v>6.32</v>
      </c>
      <c r="G48" s="11" t="s">
        <v>184</v>
      </c>
      <c r="H48" s="506">
        <v>10.07</v>
      </c>
      <c r="I48" s="506">
        <v>2.44</v>
      </c>
      <c r="J48" s="215">
        <f>F48*(I48+H48)</f>
        <v>79.063200000000009</v>
      </c>
    </row>
    <row r="49" spans="1:10" ht="13.9" customHeight="1" x14ac:dyDescent="0.2">
      <c r="A49" s="487"/>
      <c r="B49" s="195" t="s">
        <v>157</v>
      </c>
      <c r="C49" s="11" t="s">
        <v>8</v>
      </c>
      <c r="D49" s="11">
        <v>60303</v>
      </c>
      <c r="E49" s="12" t="s">
        <v>191</v>
      </c>
      <c r="F49" s="9">
        <f>21.45*0.245</f>
        <v>5.2552499999999993</v>
      </c>
      <c r="G49" s="11" t="s">
        <v>184</v>
      </c>
      <c r="H49" s="506">
        <v>10.23</v>
      </c>
      <c r="I49" s="506">
        <v>2.44</v>
      </c>
      <c r="J49" s="196">
        <f>F49*(I49+H49)</f>
        <v>66.584017499999987</v>
      </c>
    </row>
    <row r="50" spans="1:10" ht="28.15" customHeight="1" x14ac:dyDescent="0.2">
      <c r="A50" s="487"/>
      <c r="B50" s="195" t="s">
        <v>64</v>
      </c>
      <c r="C50" s="11" t="s">
        <v>8</v>
      </c>
      <c r="D50" s="11">
        <v>60517</v>
      </c>
      <c r="E50" s="12" t="s">
        <v>185</v>
      </c>
      <c r="F50" s="9">
        <v>0.5</v>
      </c>
      <c r="G50" s="11" t="s">
        <v>24</v>
      </c>
      <c r="H50" s="506">
        <v>450.04</v>
      </c>
      <c r="I50" s="506">
        <v>63.95</v>
      </c>
      <c r="J50" s="196">
        <f>F50*(H50+I50)</f>
        <v>256.995</v>
      </c>
    </row>
    <row r="51" spans="1:10" ht="28.15" customHeight="1" x14ac:dyDescent="0.2">
      <c r="A51" s="487"/>
      <c r="B51" s="195" t="s">
        <v>65</v>
      </c>
      <c r="C51" s="11" t="s">
        <v>8</v>
      </c>
      <c r="D51" s="11">
        <v>60802</v>
      </c>
      <c r="E51" s="12" t="s">
        <v>186</v>
      </c>
      <c r="F51" s="9">
        <v>0.5</v>
      </c>
      <c r="G51" s="11" t="s">
        <v>108</v>
      </c>
      <c r="H51" s="506">
        <v>0.1</v>
      </c>
      <c r="I51" s="506">
        <v>42.24</v>
      </c>
      <c r="J51" s="196">
        <f>F51*(H51+I51)</f>
        <v>21.17</v>
      </c>
    </row>
    <row r="52" spans="1:10" ht="13.9" customHeight="1" x14ac:dyDescent="0.2">
      <c r="A52" s="487"/>
      <c r="B52" s="195" t="s">
        <v>66</v>
      </c>
      <c r="C52" s="11" t="s">
        <v>8</v>
      </c>
      <c r="D52" s="11">
        <v>60203</v>
      </c>
      <c r="E52" s="12" t="s">
        <v>192</v>
      </c>
      <c r="F52" s="9">
        <v>2.2999999999999998</v>
      </c>
      <c r="G52" s="11" t="s">
        <v>25</v>
      </c>
      <c r="H52" s="506">
        <v>59.24</v>
      </c>
      <c r="I52" s="506">
        <v>35.5</v>
      </c>
      <c r="J52" s="196">
        <f>F52*(H52+I52)</f>
        <v>217.90200000000002</v>
      </c>
    </row>
    <row r="53" spans="1:10" ht="13.9" customHeight="1" x14ac:dyDescent="0.2">
      <c r="A53" s="487"/>
      <c r="B53" s="199" t="s">
        <v>67</v>
      </c>
      <c r="C53" s="200" t="s">
        <v>8</v>
      </c>
      <c r="D53" s="200">
        <v>260902</v>
      </c>
      <c r="E53" s="218" t="s">
        <v>307</v>
      </c>
      <c r="F53" s="201">
        <v>3.4</v>
      </c>
      <c r="G53" s="200" t="s">
        <v>25</v>
      </c>
      <c r="H53" s="507">
        <v>7.18</v>
      </c>
      <c r="I53" s="507">
        <v>4.28</v>
      </c>
      <c r="J53" s="202">
        <f t="shared" ref="J53" si="3">F53*(H53+I53)</f>
        <v>38.963999999999999</v>
      </c>
    </row>
    <row r="54" spans="1:10" ht="13.9" customHeight="1" x14ac:dyDescent="0.2">
      <c r="B54" s="488" t="s">
        <v>187</v>
      </c>
      <c r="C54" s="489"/>
      <c r="D54" s="489"/>
      <c r="E54" s="489"/>
      <c r="F54" s="489"/>
      <c r="G54" s="489"/>
      <c r="H54" s="489"/>
      <c r="I54" s="489"/>
      <c r="J54" s="224">
        <f>SUM(J48:J53)</f>
        <v>680.67821750000007</v>
      </c>
    </row>
    <row r="55" spans="1:10" x14ac:dyDescent="0.2">
      <c r="B55" s="490" t="s">
        <v>171</v>
      </c>
      <c r="C55" s="490"/>
      <c r="D55" s="490"/>
      <c r="E55" s="490"/>
      <c r="F55" s="490"/>
      <c r="G55" s="490"/>
      <c r="H55" s="490"/>
      <c r="I55" s="490"/>
      <c r="J55" s="490"/>
    </row>
    <row r="56" spans="1:10" x14ac:dyDescent="0.2">
      <c r="B56" s="491"/>
      <c r="C56" s="492"/>
      <c r="D56" s="492"/>
      <c r="E56" s="492"/>
      <c r="F56" s="492"/>
      <c r="G56" s="492"/>
      <c r="H56" s="492"/>
      <c r="I56" s="492"/>
      <c r="J56" s="493"/>
    </row>
    <row r="57" spans="1:10" x14ac:dyDescent="0.2">
      <c r="B57" s="494"/>
      <c r="C57" s="495"/>
      <c r="D57" s="495"/>
      <c r="E57" s="495"/>
      <c r="F57" s="495"/>
      <c r="G57" s="495"/>
      <c r="H57" s="495"/>
      <c r="I57" s="495"/>
      <c r="J57" s="496"/>
    </row>
    <row r="58" spans="1:10" x14ac:dyDescent="0.2">
      <c r="B58" s="494"/>
      <c r="C58" s="495"/>
      <c r="D58" s="495"/>
      <c r="E58" s="495"/>
      <c r="F58" s="495"/>
      <c r="G58" s="495"/>
      <c r="H58" s="495"/>
      <c r="I58" s="495"/>
      <c r="J58" s="496"/>
    </row>
    <row r="59" spans="1:10" x14ac:dyDescent="0.2">
      <c r="B59" s="497"/>
      <c r="C59" s="498"/>
      <c r="D59" s="498"/>
      <c r="E59" s="498"/>
      <c r="F59" s="498"/>
      <c r="G59" s="498"/>
      <c r="H59" s="498"/>
      <c r="I59" s="498"/>
      <c r="J59" s="499"/>
    </row>
    <row r="60" spans="1:10" x14ac:dyDescent="0.2">
      <c r="B60" s="497" t="str">
        <f>'MEMÓRIA DE CÁLCULO'!B261:E261</f>
        <v xml:space="preserve"> ____________________________________________________</v>
      </c>
      <c r="C60" s="498"/>
      <c r="D60" s="498"/>
      <c r="E60" s="498"/>
      <c r="F60" s="498"/>
      <c r="G60" s="498"/>
      <c r="H60" s="498"/>
      <c r="I60" s="498"/>
      <c r="J60" s="499"/>
    </row>
    <row r="61" spans="1:10" x14ac:dyDescent="0.2">
      <c r="B61" s="500" t="str">
        <f>'MEMÓRIA DE CÁLCULO'!B262:E262</f>
        <v>LEONARDO MARTINS DE CASTRO TEIXEIRA</v>
      </c>
      <c r="C61" s="501"/>
      <c r="D61" s="501"/>
      <c r="E61" s="501"/>
      <c r="F61" s="501"/>
      <c r="G61" s="501"/>
      <c r="H61" s="501"/>
      <c r="I61" s="501"/>
      <c r="J61" s="502"/>
    </row>
    <row r="62" spans="1:10" x14ac:dyDescent="0.2">
      <c r="B62" s="497" t="str">
        <f>'MEMÓRIA DE CÁLCULO'!B263:E263</f>
        <v>SECRETÁRIO MUNICIPAL DE OBRAS</v>
      </c>
      <c r="C62" s="498"/>
      <c r="D62" s="498"/>
      <c r="E62" s="498"/>
      <c r="F62" s="498"/>
      <c r="G62" s="498"/>
      <c r="H62" s="498"/>
      <c r="I62" s="498"/>
      <c r="J62" s="499"/>
    </row>
    <row r="63" spans="1:10" x14ac:dyDescent="0.2">
      <c r="B63" s="503" t="str">
        <f>'MEMÓRIA DE CÁLCULO'!B264:E264</f>
        <v>D</v>
      </c>
      <c r="C63" s="504"/>
      <c r="D63" s="504"/>
      <c r="E63" s="504"/>
      <c r="F63" s="504"/>
      <c r="G63" s="504"/>
      <c r="H63" s="504"/>
      <c r="I63" s="504"/>
      <c r="J63" s="505"/>
    </row>
  </sheetData>
  <sheetProtection algorithmName="SHA-512" hashValue="Y6SqXZe2r98W112FduFShoQGg18xBPySXpFLLKcFxru3J2T1rA1BZw+nMAhot//VSX25deg3PBJ31qezbHiW1A==" saltValue="Ul2mQCeGYNeAEPxN5S3/qA==" spinCount="100000" sheet="1" objects="1" scenarios="1"/>
  <mergeCells count="35">
    <mergeCell ref="B5:C5"/>
    <mergeCell ref="E5:J5"/>
    <mergeCell ref="B6:C6"/>
    <mergeCell ref="E6:J6"/>
    <mergeCell ref="B7:C7"/>
    <mergeCell ref="E7:J7"/>
    <mergeCell ref="B2:C2"/>
    <mergeCell ref="B3:C3"/>
    <mergeCell ref="B4:C4"/>
    <mergeCell ref="E4:J4"/>
    <mergeCell ref="D2:J3"/>
    <mergeCell ref="C14:J14"/>
    <mergeCell ref="B24:I24"/>
    <mergeCell ref="B8:C8"/>
    <mergeCell ref="E8:J8"/>
    <mergeCell ref="B9:C9"/>
    <mergeCell ref="E9:J9"/>
    <mergeCell ref="B11:C11"/>
    <mergeCell ref="E11:J11"/>
    <mergeCell ref="B55:J55"/>
    <mergeCell ref="D8:D10"/>
    <mergeCell ref="B63:J63"/>
    <mergeCell ref="B62:J62"/>
    <mergeCell ref="B56:J56"/>
    <mergeCell ref="B59:J59"/>
    <mergeCell ref="B60:J60"/>
    <mergeCell ref="B61:J61"/>
    <mergeCell ref="B54:I54"/>
    <mergeCell ref="B12:C12"/>
    <mergeCell ref="E12:J12"/>
    <mergeCell ref="C36:J36"/>
    <mergeCell ref="B44:I44"/>
    <mergeCell ref="C46:J46"/>
    <mergeCell ref="C26:J26"/>
    <mergeCell ref="B34:I34"/>
  </mergeCells>
  <pageMargins left="0.511811024" right="0.511811024" top="0.78740157499999996" bottom="0.78740157499999996" header="0.31496062000000002" footer="0.31496062000000002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5"/>
  <sheetViews>
    <sheetView showGridLines="0" topLeftCell="A25" zoomScaleNormal="100" workbookViewId="0">
      <selection activeCell="C62" sqref="B56:G62"/>
    </sheetView>
  </sheetViews>
  <sheetFormatPr defaultColWidth="9.140625" defaultRowHeight="14.25" x14ac:dyDescent="0.2"/>
  <cols>
    <col min="1" max="1" width="9.140625" style="19"/>
    <col min="2" max="2" width="5.42578125" style="80" bestFit="1" customWidth="1"/>
    <col min="3" max="3" width="32.42578125" style="80" customWidth="1"/>
    <col min="4" max="4" width="16.85546875" style="80" bestFit="1" customWidth="1"/>
    <col min="5" max="7" width="35.7109375" style="80" customWidth="1"/>
    <col min="8" max="9" width="9.140625" style="19"/>
    <col min="10" max="10" width="13.28515625" style="19" bestFit="1" customWidth="1"/>
    <col min="11" max="16384" width="9.140625" style="19"/>
  </cols>
  <sheetData>
    <row r="1" spans="2:10" ht="15" thickBot="1" x14ac:dyDescent="0.25"/>
    <row r="2" spans="2:10" ht="15" customHeight="1" x14ac:dyDescent="0.2">
      <c r="B2" s="513"/>
      <c r="C2" s="514"/>
      <c r="D2" s="383" t="s">
        <v>59</v>
      </c>
      <c r="E2" s="384"/>
      <c r="F2" s="384"/>
      <c r="G2" s="385"/>
    </row>
    <row r="3" spans="2:10" x14ac:dyDescent="0.2">
      <c r="B3" s="515"/>
      <c r="C3" s="516"/>
      <c r="D3" s="386"/>
      <c r="E3" s="387"/>
      <c r="F3" s="387"/>
      <c r="G3" s="388"/>
    </row>
    <row r="4" spans="2:10" x14ac:dyDescent="0.2">
      <c r="B4" s="515"/>
      <c r="C4" s="516"/>
      <c r="D4" s="83" t="str">
        <f>ORÇAMENTO!D4</f>
        <v>SETOR</v>
      </c>
      <c r="E4" s="84" t="str">
        <f>ORÇAMENTO!E4</f>
        <v>SECRETARIA MUNICIPAL DE OBRAS</v>
      </c>
      <c r="F4" s="84"/>
      <c r="G4" s="85"/>
    </row>
    <row r="5" spans="2:10" x14ac:dyDescent="0.2">
      <c r="B5" s="515"/>
      <c r="C5" s="516"/>
      <c r="D5" s="83" t="str">
        <f>ORÇAMENTO!D5</f>
        <v>OBJETO</v>
      </c>
      <c r="E5" s="81" t="str">
        <f>ORÇAMENTO!E5</f>
        <v>CONSTRUÇÃO DA PRAÇA DO CÓRREGO DO ALMOÇO</v>
      </c>
      <c r="F5" s="81"/>
      <c r="G5" s="82"/>
    </row>
    <row r="6" spans="2:10" x14ac:dyDescent="0.2">
      <c r="B6" s="515"/>
      <c r="C6" s="516"/>
      <c r="D6" s="83" t="str">
        <f>ORÇAMENTO!D6</f>
        <v>PROCESSO</v>
      </c>
      <c r="E6" s="103">
        <f>ORÇAMENTO!E6</f>
        <v>2023015268</v>
      </c>
      <c r="F6" s="81"/>
      <c r="G6" s="82"/>
    </row>
    <row r="7" spans="2:10" x14ac:dyDescent="0.2">
      <c r="B7" s="515"/>
      <c r="C7" s="516"/>
      <c r="D7" s="83" t="str">
        <f>ORÇAMENTO!D7</f>
        <v>ENDEREÇO</v>
      </c>
      <c r="E7" s="103" t="str">
        <f>ORÇAMENTO!E7</f>
        <v>ÁREA DE USO PÚBLICO SITUADA À RUA ALDEMAR FERRUGEM COM A AVENIDA NICOLAU ABRÃO</v>
      </c>
      <c r="F7" s="81"/>
      <c r="G7" s="82"/>
    </row>
    <row r="8" spans="2:10" x14ac:dyDescent="0.2">
      <c r="B8" s="515"/>
      <c r="C8" s="516"/>
      <c r="D8" s="371" t="str">
        <f>ORÇAMENTO!D8</f>
        <v>TABELAS</v>
      </c>
      <c r="E8" s="81" t="str">
        <f>'MEMÓRIA DE CÁLCULO'!C8</f>
        <v>TABELA GOINFRA T200 - CUSTOS DE OBRAS CIVIS - MARÇO/2023 - COM DESONERAÇÃO - DATA BASE: 01/03/2023</v>
      </c>
      <c r="F8" s="81"/>
      <c r="G8" s="82"/>
    </row>
    <row r="9" spans="2:10" ht="25.5" customHeight="1" x14ac:dyDescent="0.2">
      <c r="B9" s="515"/>
      <c r="C9" s="516"/>
      <c r="D9" s="371"/>
      <c r="E9" s="395" t="str">
        <f>ORÇAMENTO!E9</f>
        <v>TABELA SINAPI PCI.817.01 - CUSTO DE COMPOSIÇÕES - SINTÉTICO - MARÇO/2023 - COM DESONERAÇÃO - DATA BASE: 13/04/2023</v>
      </c>
      <c r="F9" s="395"/>
      <c r="G9" s="396"/>
    </row>
    <row r="10" spans="2:10" ht="29.25" customHeight="1" x14ac:dyDescent="0.2">
      <c r="B10" s="515"/>
      <c r="C10" s="516"/>
      <c r="D10" s="371"/>
      <c r="E10" s="395" t="str">
        <f>ORÇAMENTO!E10</f>
        <v>TABELA DE TERRAPLENAGEM, PAVIMENTAÇÃO E OBRAS DE ARTE ESPECIAIS - T198 - MAR/23 - COM DESONERAÇÃO - DATA BASE: 01/03/2023</v>
      </c>
      <c r="F10" s="395"/>
      <c r="G10" s="396"/>
    </row>
    <row r="11" spans="2:10" ht="15" thickBot="1" x14ac:dyDescent="0.25">
      <c r="B11" s="517"/>
      <c r="C11" s="518"/>
      <c r="D11" s="86" t="str">
        <f>ORÇAMENTO!D11</f>
        <v xml:space="preserve">DATA </v>
      </c>
      <c r="E11" s="390" t="str">
        <f>ORÇAMENTO!E11</f>
        <v>02 DE MAIO DE 2023</v>
      </c>
      <c r="F11" s="390"/>
      <c r="G11" s="391"/>
    </row>
    <row r="12" spans="2:10" x14ac:dyDescent="0.2">
      <c r="B12" s="303"/>
      <c r="C12" s="304"/>
      <c r="D12" s="304"/>
      <c r="E12" s="304"/>
      <c r="F12" s="304"/>
      <c r="G12" s="111"/>
    </row>
    <row r="13" spans="2:10" x14ac:dyDescent="0.2">
      <c r="B13" s="380" t="s">
        <v>1</v>
      </c>
      <c r="C13" s="380" t="s">
        <v>44</v>
      </c>
      <c r="D13" s="380"/>
      <c r="E13" s="377" t="s">
        <v>54</v>
      </c>
      <c r="F13" s="378"/>
      <c r="G13" s="389"/>
    </row>
    <row r="14" spans="2:10" x14ac:dyDescent="0.2">
      <c r="B14" s="380"/>
      <c r="C14" s="380"/>
      <c r="D14" s="380"/>
      <c r="E14" s="87" t="s">
        <v>55</v>
      </c>
      <c r="F14" s="87" t="s">
        <v>56</v>
      </c>
      <c r="G14" s="110" t="s">
        <v>57</v>
      </c>
    </row>
    <row r="15" spans="2:10" x14ac:dyDescent="0.2">
      <c r="B15" s="381">
        <f>ORÇAMENTO!B15</f>
        <v>1</v>
      </c>
      <c r="C15" s="372" t="str">
        <f>ORÇAMENTO!E15</f>
        <v>SERVIÇOS PRELIMINARES</v>
      </c>
      <c r="D15" s="88">
        <f>ORÇAMENTO!J27</f>
        <v>22974.128210910716</v>
      </c>
      <c r="E15" s="125">
        <v>0.55000000000000004</v>
      </c>
      <c r="F15" s="125">
        <v>0.25</v>
      </c>
      <c r="G15" s="126">
        <v>0.2</v>
      </c>
      <c r="H15" s="89">
        <f>SUM(E15:G15)</f>
        <v>1</v>
      </c>
      <c r="J15" s="90"/>
    </row>
    <row r="16" spans="2:10" ht="8.1" customHeight="1" x14ac:dyDescent="0.2">
      <c r="B16" s="381"/>
      <c r="C16" s="373"/>
      <c r="D16" s="91"/>
      <c r="E16" s="127"/>
      <c r="F16" s="127"/>
      <c r="G16" s="128"/>
      <c r="H16" s="89"/>
      <c r="J16" s="92"/>
    </row>
    <row r="17" spans="2:10" x14ac:dyDescent="0.2">
      <c r="B17" s="381"/>
      <c r="C17" s="374"/>
      <c r="D17" s="93">
        <f>ORÇAMENTO!K27</f>
        <v>28701.578373890759</v>
      </c>
      <c r="E17" s="129">
        <f>E15*$D$17</f>
        <v>15785.868105639918</v>
      </c>
      <c r="F17" s="129">
        <f t="shared" ref="F17:G17" si="0">F15*$D$17</f>
        <v>7175.3945934726898</v>
      </c>
      <c r="G17" s="130">
        <f t="shared" si="0"/>
        <v>5740.3156747781522</v>
      </c>
      <c r="H17" s="89"/>
      <c r="J17" s="92"/>
    </row>
    <row r="18" spans="2:10" x14ac:dyDescent="0.2">
      <c r="B18" s="372">
        <f>ORÇAMENTO!B29</f>
        <v>2</v>
      </c>
      <c r="C18" s="372" t="str">
        <f>ORÇAMENTO!E29</f>
        <v>TRANSPORTES</v>
      </c>
      <c r="D18" s="88">
        <f>ORÇAMENTO!J32</f>
        <v>15301.0985</v>
      </c>
      <c r="E18" s="125">
        <v>0.6</v>
      </c>
      <c r="F18" s="125">
        <v>0.2</v>
      </c>
      <c r="G18" s="126">
        <v>0.2</v>
      </c>
      <c r="H18" s="89">
        <f>SUM(E18:G18)</f>
        <v>1</v>
      </c>
      <c r="J18" s="90"/>
    </row>
    <row r="19" spans="2:10" ht="8.1" customHeight="1" x14ac:dyDescent="0.2">
      <c r="B19" s="373"/>
      <c r="C19" s="315"/>
      <c r="D19" s="94"/>
      <c r="E19" s="127"/>
      <c r="F19" s="127"/>
      <c r="G19" s="128"/>
      <c r="H19" s="89"/>
      <c r="J19" s="92"/>
    </row>
    <row r="20" spans="2:10" x14ac:dyDescent="0.2">
      <c r="B20" s="374"/>
      <c r="C20" s="374"/>
      <c r="D20" s="93">
        <f>ORÇAMENTO!K32</f>
        <v>19115.662356050001</v>
      </c>
      <c r="E20" s="129">
        <f>E18*$D$20</f>
        <v>11469.39741363</v>
      </c>
      <c r="F20" s="129">
        <f t="shared" ref="F20:G20" si="1">F18*$D$20</f>
        <v>3823.1324712100004</v>
      </c>
      <c r="G20" s="130">
        <f t="shared" si="1"/>
        <v>3823.1324712100004</v>
      </c>
      <c r="H20" s="89"/>
      <c r="J20" s="92"/>
    </row>
    <row r="21" spans="2:10" x14ac:dyDescent="0.2">
      <c r="B21" s="372">
        <f>ORÇAMENTO!B34</f>
        <v>3</v>
      </c>
      <c r="C21" s="381" t="str">
        <f>ORÇAMENTO!E34</f>
        <v>SERVICO EM TERRA</v>
      </c>
      <c r="D21" s="88">
        <f>ORÇAMENTO!J43</f>
        <v>89933.423331999991</v>
      </c>
      <c r="E21" s="125">
        <v>0.8</v>
      </c>
      <c r="F21" s="131">
        <v>0.15</v>
      </c>
      <c r="G21" s="132">
        <v>0.05</v>
      </c>
      <c r="H21" s="89">
        <f>SUM(E21:G21)</f>
        <v>1</v>
      </c>
      <c r="J21" s="90"/>
    </row>
    <row r="22" spans="2:10" ht="8.1" customHeight="1" x14ac:dyDescent="0.2">
      <c r="B22" s="373"/>
      <c r="C22" s="382"/>
      <c r="D22" s="94"/>
      <c r="E22" s="127"/>
      <c r="F22" s="127"/>
      <c r="G22" s="128"/>
      <c r="H22" s="89"/>
      <c r="J22" s="92"/>
    </row>
    <row r="23" spans="2:10" x14ac:dyDescent="0.2">
      <c r="B23" s="374"/>
      <c r="C23" s="381"/>
      <c r="D23" s="93">
        <f>ORÇAMENTO!K43</f>
        <v>112353.82576866759</v>
      </c>
      <c r="E23" s="129">
        <f>E21*D23</f>
        <v>89883.060614934075</v>
      </c>
      <c r="F23" s="129">
        <f>F21*D23</f>
        <v>16853.073865300139</v>
      </c>
      <c r="G23" s="130">
        <f t="shared" ref="G23" si="2">G21*$D$23</f>
        <v>5617.6912884333797</v>
      </c>
      <c r="H23" s="89"/>
      <c r="J23" s="92"/>
    </row>
    <row r="24" spans="2:10" x14ac:dyDescent="0.2">
      <c r="B24" s="372">
        <f>ORÇAMENTO!B45</f>
        <v>4</v>
      </c>
      <c r="C24" s="381" t="str">
        <f>ORÇAMENTO!E45</f>
        <v>FUNDAÇÕES E SONDAGENS</v>
      </c>
      <c r="D24" s="88">
        <f>ORÇAMENTO!J51</f>
        <v>11703.3747996</v>
      </c>
      <c r="E24" s="125">
        <v>0.05</v>
      </c>
      <c r="F24" s="131">
        <v>0.95</v>
      </c>
      <c r="G24" s="132"/>
      <c r="H24" s="89">
        <f>SUM(E24:G24)</f>
        <v>1</v>
      </c>
      <c r="J24" s="90"/>
    </row>
    <row r="25" spans="2:10" ht="8.1" customHeight="1" x14ac:dyDescent="0.2">
      <c r="B25" s="373"/>
      <c r="C25" s="382"/>
      <c r="D25" s="94"/>
      <c r="E25" s="127"/>
      <c r="F25" s="127"/>
      <c r="G25" s="128"/>
      <c r="H25" s="89"/>
      <c r="J25" s="92"/>
    </row>
    <row r="26" spans="2:10" x14ac:dyDescent="0.2">
      <c r="B26" s="374"/>
      <c r="C26" s="381"/>
      <c r="D26" s="93">
        <f>ORÇAMENTO!K51</f>
        <v>14621.026137140281</v>
      </c>
      <c r="E26" s="129">
        <f>E24*D26</f>
        <v>731.05130685701408</v>
      </c>
      <c r="F26" s="129">
        <f>F24*D26</f>
        <v>13889.974830283267</v>
      </c>
      <c r="G26" s="130">
        <f>G24*$D$26</f>
        <v>0</v>
      </c>
      <c r="H26" s="89"/>
      <c r="J26" s="92"/>
    </row>
    <row r="27" spans="2:10" x14ac:dyDescent="0.2">
      <c r="B27" s="372">
        <f>ORÇAMENTO!B53</f>
        <v>5</v>
      </c>
      <c r="C27" s="392" t="str">
        <f>ORÇAMENTO!E53</f>
        <v>INST. ELET./TELEFONICA/CABEAMENTO ESTRUTURADO</v>
      </c>
      <c r="D27" s="88">
        <f>ORÇAMENTO!J70</f>
        <v>83161.923800000004</v>
      </c>
      <c r="E27" s="125">
        <v>0.1</v>
      </c>
      <c r="F27" s="131">
        <v>0.1</v>
      </c>
      <c r="G27" s="132">
        <v>0.8</v>
      </c>
      <c r="H27" s="89">
        <f>SUM(E27:G27)</f>
        <v>1</v>
      </c>
      <c r="J27" s="90"/>
    </row>
    <row r="28" spans="2:10" ht="8.1" customHeight="1" x14ac:dyDescent="0.2">
      <c r="B28" s="373"/>
      <c r="C28" s="393"/>
      <c r="D28" s="95"/>
      <c r="E28" s="127"/>
      <c r="F28" s="127"/>
      <c r="G28" s="128"/>
      <c r="H28" s="89"/>
      <c r="J28" s="92"/>
    </row>
    <row r="29" spans="2:10" ht="27" customHeight="1" x14ac:dyDescent="0.2">
      <c r="B29" s="374"/>
      <c r="C29" s="394"/>
      <c r="D29" s="93">
        <f>ORÇAMENTO!K70</f>
        <v>103894.19140334001</v>
      </c>
      <c r="E29" s="129">
        <f>E27*$D$29</f>
        <v>10389.419140334001</v>
      </c>
      <c r="F29" s="129">
        <f>F27*$D$29</f>
        <v>10389.419140334001</v>
      </c>
      <c r="G29" s="130">
        <f>G27*$D$29</f>
        <v>83115.353122672008</v>
      </c>
      <c r="H29" s="89"/>
      <c r="J29" s="92"/>
    </row>
    <row r="30" spans="2:10" x14ac:dyDescent="0.2">
      <c r="B30" s="372">
        <f>ORÇAMENTO!B72</f>
        <v>6</v>
      </c>
      <c r="C30" s="372" t="str">
        <f>ORÇAMENTO!E72</f>
        <v>INSTALAÇÕES HIDROSSANITÁRIAS</v>
      </c>
      <c r="D30" s="96">
        <f>ORÇAMENTO!J81</f>
        <v>1635.69</v>
      </c>
      <c r="E30" s="125">
        <v>0.3</v>
      </c>
      <c r="F30" s="131">
        <v>0.3</v>
      </c>
      <c r="G30" s="132">
        <v>0.4</v>
      </c>
      <c r="H30" s="89">
        <f>SUM(E30:G30)</f>
        <v>1</v>
      </c>
      <c r="J30" s="90"/>
    </row>
    <row r="31" spans="2:10" ht="8.1" customHeight="1" x14ac:dyDescent="0.2">
      <c r="B31" s="373"/>
      <c r="C31" s="373"/>
      <c r="D31" s="97"/>
      <c r="E31" s="127"/>
      <c r="F31" s="127"/>
      <c r="G31" s="128"/>
      <c r="H31" s="89"/>
      <c r="J31" s="92"/>
    </row>
    <row r="32" spans="2:10" x14ac:dyDescent="0.2">
      <c r="B32" s="374"/>
      <c r="C32" s="374"/>
      <c r="D32" s="93">
        <f>ORÇAMENTO!K81</f>
        <v>2043.4675170000003</v>
      </c>
      <c r="E32" s="129">
        <f>E30*$D$32</f>
        <v>613.04025510000008</v>
      </c>
      <c r="F32" s="129">
        <f>F30*$D$32</f>
        <v>613.04025510000008</v>
      </c>
      <c r="G32" s="130">
        <f>G30*$D$32</f>
        <v>817.38700680000011</v>
      </c>
      <c r="H32" s="89"/>
      <c r="J32" s="92"/>
    </row>
    <row r="33" spans="2:10" x14ac:dyDescent="0.2">
      <c r="B33" s="372">
        <f>ORÇAMENTO!B83</f>
        <v>7</v>
      </c>
      <c r="C33" s="392" t="str">
        <f>ORÇAMENTO!E83</f>
        <v>ESTRUTURAS METÁLICAS</v>
      </c>
      <c r="D33" s="88">
        <f>ORÇAMENTO!J85</f>
        <v>2525.16</v>
      </c>
      <c r="E33" s="125"/>
      <c r="F33" s="131">
        <v>0.3</v>
      </c>
      <c r="G33" s="132">
        <v>0.7</v>
      </c>
      <c r="H33" s="89">
        <f>SUM(E33:G33)</f>
        <v>1</v>
      </c>
      <c r="J33" s="90"/>
    </row>
    <row r="34" spans="2:10" ht="8.1" customHeight="1" x14ac:dyDescent="0.2">
      <c r="B34" s="373"/>
      <c r="C34" s="393"/>
      <c r="D34" s="95"/>
      <c r="E34" s="127"/>
      <c r="F34" s="127"/>
      <c r="G34" s="128"/>
      <c r="H34" s="89"/>
      <c r="J34" s="92"/>
    </row>
    <row r="35" spans="2:10" x14ac:dyDescent="0.2">
      <c r="B35" s="374"/>
      <c r="C35" s="394"/>
      <c r="D35" s="93">
        <f>ORÇAMENTO!K85</f>
        <v>3154.6823880000002</v>
      </c>
      <c r="E35" s="129">
        <f>E33*$D$35</f>
        <v>0</v>
      </c>
      <c r="F35" s="129">
        <f>F33*$D$35</f>
        <v>946.40471639999998</v>
      </c>
      <c r="G35" s="130">
        <f>G33*$D$35</f>
        <v>2208.2776715999998</v>
      </c>
      <c r="H35" s="89"/>
      <c r="J35" s="92"/>
    </row>
    <row r="36" spans="2:10" x14ac:dyDescent="0.2">
      <c r="B36" s="372">
        <f>ORÇAMENTO!B87</f>
        <v>8</v>
      </c>
      <c r="C36" s="375" t="str">
        <f>ORÇAMENTO!E87</f>
        <v>ESQUADRIAS METÁLICAS</v>
      </c>
      <c r="D36" s="88">
        <f>ORÇAMENTO!J89</f>
        <v>19283.807400000002</v>
      </c>
      <c r="E36" s="125">
        <v>0.1</v>
      </c>
      <c r="F36" s="131">
        <v>0.45</v>
      </c>
      <c r="G36" s="132">
        <v>0.45</v>
      </c>
      <c r="H36" s="89">
        <f>SUM(E36:G36)</f>
        <v>1</v>
      </c>
      <c r="J36" s="90"/>
    </row>
    <row r="37" spans="2:10" ht="8.1" customHeight="1" x14ac:dyDescent="0.2">
      <c r="B37" s="373"/>
      <c r="C37" s="376"/>
      <c r="D37" s="95"/>
      <c r="E37" s="127"/>
      <c r="F37" s="127"/>
      <c r="G37" s="128"/>
      <c r="H37" s="89"/>
      <c r="J37" s="92"/>
    </row>
    <row r="38" spans="2:10" x14ac:dyDescent="0.2">
      <c r="B38" s="374"/>
      <c r="C38" s="375"/>
      <c r="D38" s="93">
        <f>ORÇAMENTO!K89</f>
        <v>24091.260584820004</v>
      </c>
      <c r="E38" s="129">
        <f>E36*$D$38</f>
        <v>2409.1260584820006</v>
      </c>
      <c r="F38" s="129">
        <f>F36*$D$38</f>
        <v>10841.067263169001</v>
      </c>
      <c r="G38" s="130">
        <f>G36*$D$38</f>
        <v>10841.067263169001</v>
      </c>
      <c r="H38" s="89"/>
      <c r="J38" s="92"/>
    </row>
    <row r="39" spans="2:10" x14ac:dyDescent="0.2">
      <c r="B39" s="372">
        <f>ORÇAMENTO!B91</f>
        <v>9</v>
      </c>
      <c r="C39" s="392" t="str">
        <f>ORÇAMENTO!E91</f>
        <v>REVESTIMENTO DE PISO</v>
      </c>
      <c r="D39" s="88">
        <f>ORÇAMENTO!J96</f>
        <v>57634.264899999995</v>
      </c>
      <c r="E39" s="125">
        <v>0.2</v>
      </c>
      <c r="F39" s="131">
        <v>0.3</v>
      </c>
      <c r="G39" s="132">
        <v>0.5</v>
      </c>
      <c r="H39" s="89">
        <f>SUM(E39:G39)</f>
        <v>1</v>
      </c>
      <c r="J39" s="90"/>
    </row>
    <row r="40" spans="2:10" ht="8.1" customHeight="1" x14ac:dyDescent="0.2">
      <c r="B40" s="373"/>
      <c r="C40" s="393"/>
      <c r="D40" s="95"/>
      <c r="E40" s="128"/>
      <c r="F40" s="128"/>
      <c r="G40" s="128"/>
      <c r="H40" s="89"/>
      <c r="J40" s="92"/>
    </row>
    <row r="41" spans="2:10" x14ac:dyDescent="0.2">
      <c r="B41" s="374"/>
      <c r="C41" s="394"/>
      <c r="D41" s="93">
        <f>ORÇAMENTO!K96</f>
        <v>72002.487139570003</v>
      </c>
      <c r="E41" s="129">
        <f>E39*$D$41</f>
        <v>14400.497427914001</v>
      </c>
      <c r="F41" s="129">
        <f>F39*$D$41</f>
        <v>21600.746141871001</v>
      </c>
      <c r="G41" s="130">
        <f>G39*$D$41</f>
        <v>36001.243569785001</v>
      </c>
      <c r="H41" s="89"/>
      <c r="J41" s="92"/>
    </row>
    <row r="42" spans="2:10" x14ac:dyDescent="0.2">
      <c r="B42" s="372">
        <f>ORÇAMENTO!B98</f>
        <v>10</v>
      </c>
      <c r="C42" s="375" t="str">
        <f>ORÇAMENTO!E98</f>
        <v>ADMINISTRAÇÃO - MENSALISTAS</v>
      </c>
      <c r="D42" s="88">
        <f>ORÇAMENTO!J102</f>
        <v>30296.799999999999</v>
      </c>
      <c r="E42" s="125"/>
      <c r="F42" s="131">
        <v>0.1</v>
      </c>
      <c r="G42" s="132">
        <v>0.9</v>
      </c>
      <c r="H42" s="89">
        <f>SUM(E42:G42)</f>
        <v>1</v>
      </c>
      <c r="J42" s="90"/>
    </row>
    <row r="43" spans="2:10" ht="8.1" customHeight="1" x14ac:dyDescent="0.2">
      <c r="B43" s="373"/>
      <c r="C43" s="376"/>
      <c r="D43" s="95"/>
      <c r="E43" s="127"/>
      <c r="F43" s="127"/>
      <c r="G43" s="128"/>
      <c r="H43" s="89"/>
    </row>
    <row r="44" spans="2:10" x14ac:dyDescent="0.2">
      <c r="B44" s="374"/>
      <c r="C44" s="375"/>
      <c r="D44" s="93">
        <f>ORÇAMENTO!K102</f>
        <v>37849.792240000002</v>
      </c>
      <c r="E44" s="129">
        <f>E42*$D$44</f>
        <v>0</v>
      </c>
      <c r="F44" s="129">
        <f>F42*$D$44</f>
        <v>3784.9792240000006</v>
      </c>
      <c r="G44" s="130">
        <f>G42*$D$44</f>
        <v>34064.813016</v>
      </c>
      <c r="H44" s="89"/>
    </row>
    <row r="45" spans="2:10" x14ac:dyDescent="0.2">
      <c r="B45" s="372">
        <f>ORÇAMENTO!B104</f>
        <v>11</v>
      </c>
      <c r="C45" s="375" t="str">
        <f>ORÇAMENTO!E104</f>
        <v>PINTURA</v>
      </c>
      <c r="D45" s="88">
        <f>ORÇAMENTO!J109</f>
        <v>8535.85</v>
      </c>
      <c r="E45" s="125"/>
      <c r="F45" s="131">
        <v>0.1</v>
      </c>
      <c r="G45" s="132">
        <v>0.9</v>
      </c>
      <c r="H45" s="89">
        <f>SUM(E45:G45)</f>
        <v>1</v>
      </c>
      <c r="J45" s="90"/>
    </row>
    <row r="46" spans="2:10" ht="8.1" customHeight="1" x14ac:dyDescent="0.2">
      <c r="B46" s="373"/>
      <c r="C46" s="376"/>
      <c r="D46" s="95"/>
      <c r="E46" s="127"/>
      <c r="F46" s="127"/>
      <c r="G46" s="128"/>
      <c r="H46" s="89"/>
    </row>
    <row r="47" spans="2:10" x14ac:dyDescent="0.2">
      <c r="B47" s="374"/>
      <c r="C47" s="375"/>
      <c r="D47" s="93">
        <f>ORÇAMENTO!K109</f>
        <v>10663.837405</v>
      </c>
      <c r="E47" s="129">
        <f>E45*$D$47</f>
        <v>0</v>
      </c>
      <c r="F47" s="129">
        <f>F45*$D$47</f>
        <v>1066.3837405000002</v>
      </c>
      <c r="G47" s="130">
        <f>G45*$D$47</f>
        <v>9597.4536645000007</v>
      </c>
      <c r="H47" s="89"/>
    </row>
    <row r="48" spans="2:10" x14ac:dyDescent="0.2">
      <c r="B48" s="372">
        <f>ORÇAMENTO!B111</f>
        <v>12</v>
      </c>
      <c r="C48" s="375" t="str">
        <f>ORÇAMENTO!E111</f>
        <v>DIVERSOS</v>
      </c>
      <c r="D48" s="88">
        <f>ORÇAMENTO!J127</f>
        <v>226843.37780955614</v>
      </c>
      <c r="E48" s="125">
        <v>0.2</v>
      </c>
      <c r="F48" s="131">
        <v>0.4</v>
      </c>
      <c r="G48" s="132">
        <v>0.4</v>
      </c>
      <c r="H48" s="89">
        <f>SUM(E48:G48)</f>
        <v>1</v>
      </c>
      <c r="J48" s="90"/>
    </row>
    <row r="49" spans="2:8" ht="8.1" customHeight="1" x14ac:dyDescent="0.2">
      <c r="B49" s="373"/>
      <c r="C49" s="376"/>
      <c r="D49" s="95"/>
      <c r="E49" s="127"/>
      <c r="F49" s="127"/>
      <c r="G49" s="128"/>
      <c r="H49" s="89"/>
    </row>
    <row r="50" spans="2:8" x14ac:dyDescent="0.2">
      <c r="B50" s="374"/>
      <c r="C50" s="375"/>
      <c r="D50" s="93">
        <f>ORÇAMENTO!K127</f>
        <v>251528.61731563852</v>
      </c>
      <c r="E50" s="129">
        <f>E48*$D$50</f>
        <v>50305.72346312771</v>
      </c>
      <c r="F50" s="129">
        <f>F48*$D$50</f>
        <v>100611.44692625542</v>
      </c>
      <c r="G50" s="130">
        <f>G48*$D$50</f>
        <v>100611.44692625542</v>
      </c>
      <c r="H50" s="89"/>
    </row>
    <row r="51" spans="2:8" x14ac:dyDescent="0.2">
      <c r="B51" s="98"/>
      <c r="C51" s="400"/>
      <c r="D51" s="400"/>
      <c r="E51" s="400"/>
      <c r="F51" s="400"/>
      <c r="G51" s="401"/>
    </row>
    <row r="52" spans="2:8" ht="15" customHeight="1" x14ac:dyDescent="0.2">
      <c r="B52" s="377" t="s">
        <v>45</v>
      </c>
      <c r="C52" s="378"/>
      <c r="D52" s="379"/>
      <c r="E52" s="99">
        <f>E54/ORÇAMENTO!J131</f>
        <v>0.28820778837647248</v>
      </c>
      <c r="F52" s="99">
        <f>F54/ORÇAMENTO!J131</f>
        <v>0.28174898150360039</v>
      </c>
      <c r="G52" s="106">
        <f>G54/ORÇAMENTO!J131</f>
        <v>0.43004323011992723</v>
      </c>
    </row>
    <row r="53" spans="2:8" x14ac:dyDescent="0.2">
      <c r="B53" s="377" t="s">
        <v>46</v>
      </c>
      <c r="C53" s="378"/>
      <c r="D53" s="379"/>
      <c r="E53" s="100">
        <f>E52</f>
        <v>0.28820778837647248</v>
      </c>
      <c r="F53" s="100">
        <f t="shared" ref="F53:G53" si="3">E53+F52</f>
        <v>0.56995676988007293</v>
      </c>
      <c r="G53" s="107">
        <f t="shared" si="3"/>
        <v>1.0000000000000002</v>
      </c>
    </row>
    <row r="54" spans="2:8" x14ac:dyDescent="0.2">
      <c r="B54" s="377" t="s">
        <v>47</v>
      </c>
      <c r="C54" s="378"/>
      <c r="D54" s="379"/>
      <c r="E54" s="104">
        <f>SUM(E44,E41,E38,E35,E32,E29,E23,E20,E17,E26,E50,E47)</f>
        <v>195987.18378601869</v>
      </c>
      <c r="F54" s="104">
        <f>+F17+F20+F23+F29+F32+F35+F38+F41+F44+F26+F50+F47</f>
        <v>191595.06316789551</v>
      </c>
      <c r="G54" s="108">
        <f>G17+G20+G23+G29+G32+G35+G38+G41+G44+G50+G26+G47</f>
        <v>292438.18167520297</v>
      </c>
    </row>
    <row r="55" spans="2:8" ht="15" thickBot="1" x14ac:dyDescent="0.25">
      <c r="B55" s="397" t="s">
        <v>48</v>
      </c>
      <c r="C55" s="398"/>
      <c r="D55" s="399"/>
      <c r="E55" s="105">
        <f>E54</f>
        <v>195987.18378601869</v>
      </c>
      <c r="F55" s="105">
        <f>E55+F54</f>
        <v>387582.24695391417</v>
      </c>
      <c r="G55" s="109">
        <f t="shared" ref="G55" si="4">F55+G54</f>
        <v>680020.42862911709</v>
      </c>
    </row>
    <row r="56" spans="2:8" x14ac:dyDescent="0.2">
      <c r="B56" s="513"/>
      <c r="C56" s="519"/>
      <c r="D56" s="519"/>
      <c r="E56" s="519"/>
      <c r="F56" s="519"/>
      <c r="G56" s="514"/>
    </row>
    <row r="57" spans="2:8" x14ac:dyDescent="0.2">
      <c r="B57" s="520"/>
      <c r="C57" s="474"/>
      <c r="D57" s="474"/>
      <c r="E57" s="521"/>
      <c r="F57" s="522"/>
      <c r="G57" s="523"/>
    </row>
    <row r="58" spans="2:8" x14ac:dyDescent="0.2">
      <c r="B58" s="524"/>
      <c r="C58" s="522"/>
      <c r="D58" s="522"/>
      <c r="E58" s="521"/>
      <c r="F58" s="522"/>
      <c r="G58" s="523"/>
    </row>
    <row r="59" spans="2:8" ht="15" customHeight="1" x14ac:dyDescent="0.2">
      <c r="B59" s="525" t="s">
        <v>172</v>
      </c>
      <c r="C59" s="526"/>
      <c r="D59" s="526"/>
      <c r="E59" s="526"/>
      <c r="F59" s="526"/>
      <c r="G59" s="527"/>
    </row>
    <row r="60" spans="2:8" ht="15" customHeight="1" x14ac:dyDescent="0.2">
      <c r="B60" s="528" t="s">
        <v>173</v>
      </c>
      <c r="C60" s="529"/>
      <c r="D60" s="529"/>
      <c r="E60" s="529"/>
      <c r="F60" s="529"/>
      <c r="G60" s="530"/>
    </row>
    <row r="61" spans="2:8" ht="15" customHeight="1" x14ac:dyDescent="0.2">
      <c r="B61" s="525" t="s">
        <v>174</v>
      </c>
      <c r="C61" s="526"/>
      <c r="D61" s="526"/>
      <c r="E61" s="526"/>
      <c r="F61" s="526"/>
      <c r="G61" s="527"/>
    </row>
    <row r="62" spans="2:8" ht="15.75" customHeight="1" thickBot="1" x14ac:dyDescent="0.25">
      <c r="B62" s="531"/>
      <c r="C62" s="532" t="s">
        <v>175</v>
      </c>
      <c r="D62" s="532"/>
      <c r="E62" s="532"/>
      <c r="F62" s="532"/>
      <c r="G62" s="533"/>
    </row>
    <row r="63" spans="2:8" x14ac:dyDescent="0.2">
      <c r="B63" s="305"/>
      <c r="C63" s="297"/>
      <c r="D63" s="296"/>
      <c r="E63" s="31"/>
      <c r="F63" s="296"/>
      <c r="G63" s="32"/>
    </row>
    <row r="64" spans="2:8" x14ac:dyDescent="0.2">
      <c r="B64" s="296"/>
      <c r="C64" s="297"/>
      <c r="D64" s="296"/>
      <c r="E64" s="31"/>
      <c r="F64" s="296"/>
      <c r="G64" s="32"/>
    </row>
    <row r="65" spans="2:7" x14ac:dyDescent="0.2">
      <c r="B65" s="296"/>
      <c r="C65" s="297"/>
      <c r="D65" s="296"/>
      <c r="E65" s="31"/>
      <c r="F65" s="296"/>
      <c r="G65" s="32"/>
    </row>
  </sheetData>
  <mergeCells count="42">
    <mergeCell ref="B60:G60"/>
    <mergeCell ref="B24:B26"/>
    <mergeCell ref="C24:C26"/>
    <mergeCell ref="B48:B50"/>
    <mergeCell ref="C48:C50"/>
    <mergeCell ref="C36:C38"/>
    <mergeCell ref="B39:B41"/>
    <mergeCell ref="B59:G59"/>
    <mergeCell ref="B55:D55"/>
    <mergeCell ref="C51:G51"/>
    <mergeCell ref="B21:B23"/>
    <mergeCell ref="C21:C23"/>
    <mergeCell ref="D2:G3"/>
    <mergeCell ref="B57:D57"/>
    <mergeCell ref="E13:G13"/>
    <mergeCell ref="E11:G11"/>
    <mergeCell ref="C27:C29"/>
    <mergeCell ref="B30:B32"/>
    <mergeCell ref="C30:C32"/>
    <mergeCell ref="B33:B35"/>
    <mergeCell ref="B36:B38"/>
    <mergeCell ref="B27:B29"/>
    <mergeCell ref="E9:G9"/>
    <mergeCell ref="C33:C35"/>
    <mergeCell ref="C39:C41"/>
    <mergeCell ref="E10:G10"/>
    <mergeCell ref="D8:D10"/>
    <mergeCell ref="B45:B47"/>
    <mergeCell ref="C45:C47"/>
    <mergeCell ref="B61:G61"/>
    <mergeCell ref="C62:G62"/>
    <mergeCell ref="B52:D52"/>
    <mergeCell ref="B53:D53"/>
    <mergeCell ref="B54:D54"/>
    <mergeCell ref="B13:B14"/>
    <mergeCell ref="C13:D14"/>
    <mergeCell ref="B15:B17"/>
    <mergeCell ref="C15:C17"/>
    <mergeCell ref="B18:B20"/>
    <mergeCell ref="C18:C20"/>
    <mergeCell ref="B42:B44"/>
    <mergeCell ref="C42:C44"/>
  </mergeCells>
  <phoneticPr fontId="4" type="noConversion"/>
  <conditionalFormatting sqref="E28:G28 E31:G31 E16:G16 E19:G19 E22:G22">
    <cfRule type="expression" dxfId="15" priority="92">
      <formula>IF(E15="",0,1)</formula>
    </cfRule>
  </conditionalFormatting>
  <conditionalFormatting sqref="E43">
    <cfRule type="expression" dxfId="14" priority="78">
      <formula>IF(E42="",0,1)</formula>
    </cfRule>
  </conditionalFormatting>
  <conditionalFormatting sqref="F34:G34">
    <cfRule type="expression" dxfId="13" priority="22">
      <formula>IF(F33="",0,1)</formula>
    </cfRule>
  </conditionalFormatting>
  <conditionalFormatting sqref="E37:G37">
    <cfRule type="expression" dxfId="12" priority="20">
      <formula>IF(E36="",0,1)</formula>
    </cfRule>
  </conditionalFormatting>
  <conditionalFormatting sqref="E34">
    <cfRule type="expression" dxfId="11" priority="17">
      <formula>IF(E33="",0,1)</formula>
    </cfRule>
  </conditionalFormatting>
  <conditionalFormatting sqref="G40">
    <cfRule type="expression" dxfId="10" priority="15">
      <formula>IF(G39="",0,1)</formula>
    </cfRule>
  </conditionalFormatting>
  <conditionalFormatting sqref="G43">
    <cfRule type="expression" dxfId="9" priority="14">
      <formula>IF(G42="",0,1)</formula>
    </cfRule>
  </conditionalFormatting>
  <conditionalFormatting sqref="F43">
    <cfRule type="expression" dxfId="8" priority="13">
      <formula>IF(F42="",0,1)</formula>
    </cfRule>
  </conditionalFormatting>
  <conditionalFormatting sqref="E25:G25">
    <cfRule type="expression" dxfId="7" priority="12">
      <formula>IF(E24="",0,1)</formula>
    </cfRule>
  </conditionalFormatting>
  <conditionalFormatting sqref="G49">
    <cfRule type="expression" dxfId="6" priority="10">
      <formula>IF(G48="",0,1)</formula>
    </cfRule>
  </conditionalFormatting>
  <conditionalFormatting sqref="F49">
    <cfRule type="expression" dxfId="5" priority="9">
      <formula>IF(F48="",0,1)</formula>
    </cfRule>
  </conditionalFormatting>
  <conditionalFormatting sqref="E40:F40">
    <cfRule type="expression" dxfId="4" priority="5">
      <formula>IF(E39="",0,1)</formula>
    </cfRule>
  </conditionalFormatting>
  <conditionalFormatting sqref="E49">
    <cfRule type="expression" dxfId="3" priority="4">
      <formula>IF(E48="",0,1)</formula>
    </cfRule>
  </conditionalFormatting>
  <conditionalFormatting sqref="E46">
    <cfRule type="expression" dxfId="2" priority="3">
      <formula>IF(E45="",0,1)</formula>
    </cfRule>
  </conditionalFormatting>
  <conditionalFormatting sqref="G46">
    <cfRule type="expression" dxfId="1" priority="2">
      <formula>IF(G45="",0,1)</formula>
    </cfRule>
  </conditionalFormatting>
  <conditionalFormatting sqref="F46">
    <cfRule type="expression" dxfId="0" priority="1">
      <formula>IF(F45="",0,1)</formula>
    </cfRule>
  </conditionalFormatting>
  <pageMargins left="0.78740157480314965" right="0.19685039370078741" top="1.9685039370078741" bottom="0.78740157480314965" header="0.31496062992125984" footer="0.31496062992125984"/>
  <pageSetup paperSize="9" scale="5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2"/>
  <sheetViews>
    <sheetView tabSelected="1" topLeftCell="A31" workbookViewId="0">
      <selection activeCell="P45" sqref="P45"/>
    </sheetView>
  </sheetViews>
  <sheetFormatPr defaultColWidth="9.140625" defaultRowHeight="16.5" x14ac:dyDescent="0.3"/>
  <cols>
    <col min="1" max="1" width="9.140625" style="156"/>
    <col min="2" max="2" width="18.5703125" style="156" customWidth="1"/>
    <col min="3" max="3" width="11.85546875" style="156" customWidth="1"/>
    <col min="4" max="4" width="21" style="156" customWidth="1"/>
    <col min="5" max="5" width="13.140625" style="156" customWidth="1"/>
    <col min="6" max="6" width="12.140625" style="156" customWidth="1"/>
    <col min="7" max="7" width="13.42578125" style="156" customWidth="1"/>
    <col min="8" max="8" width="11.7109375" style="156" customWidth="1"/>
    <col min="9" max="9" width="12.7109375" style="156" customWidth="1"/>
    <col min="10" max="10" width="12.5703125" style="156" customWidth="1"/>
    <col min="11" max="11" width="18.7109375" style="156" customWidth="1"/>
    <col min="12" max="15" width="9.140625" style="156"/>
    <col min="16" max="16" width="19.5703125" style="156" customWidth="1"/>
    <col min="17" max="16384" width="9.140625" style="156"/>
  </cols>
  <sheetData>
    <row r="1" spans="2:16" ht="17.25" thickBot="1" x14ac:dyDescent="0.35"/>
    <row r="2" spans="2:16" x14ac:dyDescent="0.3">
      <c r="B2" s="154"/>
      <c r="C2" s="155"/>
      <c r="D2" s="402" t="s">
        <v>53</v>
      </c>
      <c r="E2" s="403"/>
      <c r="F2" s="403"/>
      <c r="G2" s="403"/>
      <c r="H2" s="403"/>
      <c r="I2" s="403"/>
      <c r="J2" s="403"/>
      <c r="K2" s="404"/>
    </row>
    <row r="3" spans="2:16" x14ac:dyDescent="0.3">
      <c r="B3" s="157"/>
      <c r="C3" s="158"/>
      <c r="D3" s="405"/>
      <c r="E3" s="406"/>
      <c r="F3" s="406"/>
      <c r="G3" s="406"/>
      <c r="H3" s="406"/>
      <c r="I3" s="406"/>
      <c r="J3" s="406"/>
      <c r="K3" s="407"/>
    </row>
    <row r="4" spans="2:16" x14ac:dyDescent="0.3">
      <c r="B4" s="159"/>
      <c r="C4" s="160"/>
      <c r="D4" s="161" t="str">
        <f>[1]ORÇAMENTO!C3</f>
        <v>SETOR</v>
      </c>
      <c r="E4" s="162" t="str">
        <f>[1]ORÇAMENTO!D3</f>
        <v>SECRETARIA MUNICIPAL DE OBRAS</v>
      </c>
      <c r="F4" s="161"/>
      <c r="G4" s="161"/>
      <c r="H4" s="161"/>
      <c r="I4" s="161"/>
      <c r="J4" s="161"/>
      <c r="K4" s="160"/>
    </row>
    <row r="5" spans="2:16" x14ac:dyDescent="0.3">
      <c r="B5" s="159"/>
      <c r="C5" s="160"/>
      <c r="D5" s="161" t="str">
        <f>[1]ORÇAMENTO!C4</f>
        <v>OBJETO</v>
      </c>
      <c r="E5" s="162" t="str">
        <f>ORÇAMENTO!E5</f>
        <v>CONSTRUÇÃO DA PRAÇA DO CÓRREGO DO ALMOÇO</v>
      </c>
      <c r="F5" s="161"/>
      <c r="G5" s="161"/>
      <c r="H5" s="161"/>
      <c r="I5" s="161"/>
      <c r="J5" s="161"/>
      <c r="K5" s="160"/>
    </row>
    <row r="6" spans="2:16" x14ac:dyDescent="0.3">
      <c r="B6" s="307"/>
      <c r="C6" s="309"/>
      <c r="D6" s="161" t="str">
        <f>[1]ORÇAMENTO!C5</f>
        <v>PROCESSO</v>
      </c>
      <c r="E6" s="162">
        <f>ORÇAMENTO!E6</f>
        <v>2023015268</v>
      </c>
      <c r="F6" s="308"/>
      <c r="G6" s="308"/>
      <c r="H6" s="308"/>
      <c r="I6" s="308"/>
      <c r="J6" s="308"/>
      <c r="K6" s="309"/>
    </row>
    <row r="7" spans="2:16" x14ac:dyDescent="0.3">
      <c r="B7" s="307"/>
      <c r="C7" s="309"/>
      <c r="D7" s="161" t="str">
        <f>[1]ORÇAMENTO!C6</f>
        <v>ENDEREÇO</v>
      </c>
      <c r="E7" s="162" t="str">
        <f>ORÇAMENTO!E7</f>
        <v>ÁREA DE USO PÚBLICO SITUADA À RUA ALDEMAR FERRUGEM COM A AVENIDA NICOLAU ABRÃO</v>
      </c>
      <c r="F7" s="308"/>
      <c r="G7" s="308"/>
      <c r="H7" s="308"/>
      <c r="I7" s="308"/>
      <c r="J7" s="308"/>
      <c r="K7" s="309"/>
    </row>
    <row r="8" spans="2:16" ht="33" customHeight="1" x14ac:dyDescent="0.3">
      <c r="B8" s="307"/>
      <c r="C8" s="309"/>
      <c r="D8" s="408" t="str">
        <f>[1]ORÇAMENTO!C7</f>
        <v>TABELAS</v>
      </c>
      <c r="E8" s="423" t="str">
        <f>ORÇAMENTO!E8</f>
        <v>TABELA GOINFRA T200 - CUSTOS DE OBRAS CIVIS - MARÇO/2023 - COM DESONERAÇÃO - DATA BASE: 01/03/2023</v>
      </c>
      <c r="F8" s="423"/>
      <c r="G8" s="423"/>
      <c r="H8" s="423"/>
      <c r="I8" s="423"/>
      <c r="J8" s="423"/>
      <c r="K8" s="424"/>
    </row>
    <row r="9" spans="2:16" ht="32.25" customHeight="1" x14ac:dyDescent="0.3">
      <c r="B9" s="307"/>
      <c r="C9" s="309"/>
      <c r="D9" s="408"/>
      <c r="E9" s="423" t="str">
        <f>ORÇAMENTO!E9</f>
        <v>TABELA SINAPI PCI.817.01 - CUSTO DE COMPOSIÇÕES - SINTÉTICO - MARÇO/2023 - COM DESONERAÇÃO - DATA BASE: 13/04/2023</v>
      </c>
      <c r="F9" s="423"/>
      <c r="G9" s="423"/>
      <c r="H9" s="423"/>
      <c r="I9" s="423"/>
      <c r="J9" s="423"/>
      <c r="K9" s="424"/>
    </row>
    <row r="10" spans="2:16" x14ac:dyDescent="0.3">
      <c r="B10" s="307"/>
      <c r="C10" s="309"/>
      <c r="D10" s="408"/>
      <c r="E10" s="423" t="str">
        <f>ORÇAMENTO!E10</f>
        <v>TABELA DE TERRAPLENAGEM, PAVIMENTAÇÃO E OBRAS DE ARTE ESPECIAIS - T198 - MAR/23 - COM DESONERAÇÃO - DATA BASE: 01/03/2023</v>
      </c>
      <c r="F10" s="423"/>
      <c r="G10" s="423"/>
      <c r="H10" s="423"/>
      <c r="I10" s="423"/>
      <c r="J10" s="423"/>
      <c r="K10" s="424"/>
    </row>
    <row r="11" spans="2:16" x14ac:dyDescent="0.3">
      <c r="B11" s="307"/>
      <c r="C11" s="309"/>
      <c r="D11" s="408"/>
      <c r="E11" s="187"/>
      <c r="F11" s="187"/>
      <c r="G11" s="187"/>
      <c r="H11" s="187"/>
      <c r="I11" s="187"/>
      <c r="J11" s="187"/>
      <c r="K11" s="188"/>
    </row>
    <row r="12" spans="2:16" ht="17.25" thickBot="1" x14ac:dyDescent="0.35">
      <c r="B12" s="163"/>
      <c r="C12" s="164"/>
      <c r="D12" s="165" t="str">
        <f>[1]ORÇAMENTO!C9</f>
        <v xml:space="preserve">DATA </v>
      </c>
      <c r="E12" s="166" t="str">
        <f>ORÇAMENTO!E11</f>
        <v>02 DE MAIO DE 2023</v>
      </c>
      <c r="F12" s="167"/>
      <c r="G12" s="167"/>
      <c r="H12" s="167"/>
      <c r="I12" s="167"/>
      <c r="J12" s="167"/>
      <c r="K12" s="164"/>
    </row>
    <row r="13" spans="2:16" ht="8.25" customHeight="1" thickBot="1" x14ac:dyDescent="0.35">
      <c r="B13" s="163"/>
      <c r="C13" s="167"/>
      <c r="D13" s="165"/>
      <c r="E13" s="166"/>
      <c r="F13" s="167"/>
      <c r="G13" s="167"/>
      <c r="H13" s="167"/>
      <c r="I13" s="167"/>
      <c r="J13" s="167"/>
      <c r="K13" s="164"/>
    </row>
    <row r="14" spans="2:16" ht="16.5" customHeight="1" thickBot="1" x14ac:dyDescent="0.35">
      <c r="B14" s="409" t="s">
        <v>331</v>
      </c>
      <c r="C14" s="410"/>
      <c r="D14" s="410"/>
      <c r="E14" s="410"/>
      <c r="F14" s="410"/>
      <c r="G14" s="410"/>
      <c r="H14" s="410"/>
      <c r="I14" s="410"/>
      <c r="J14" s="410"/>
      <c r="K14" s="411"/>
    </row>
    <row r="15" spans="2:16" ht="8.25" customHeight="1" thickBot="1" x14ac:dyDescent="0.35">
      <c r="B15" s="412"/>
      <c r="C15" s="413"/>
      <c r="D15" s="413"/>
      <c r="E15" s="413"/>
      <c r="F15" s="413"/>
      <c r="G15" s="413"/>
      <c r="H15" s="413"/>
      <c r="I15" s="413"/>
      <c r="J15" s="413"/>
      <c r="K15" s="414"/>
    </row>
    <row r="16" spans="2:16" ht="61.5" customHeight="1" x14ac:dyDescent="0.3">
      <c r="B16" s="168" t="s">
        <v>332</v>
      </c>
      <c r="C16" s="169" t="s">
        <v>333</v>
      </c>
      <c r="D16" s="169" t="s">
        <v>334</v>
      </c>
      <c r="E16" s="169" t="s">
        <v>335</v>
      </c>
      <c r="F16" s="169" t="s">
        <v>336</v>
      </c>
      <c r="G16" s="169" t="s">
        <v>337</v>
      </c>
      <c r="H16" s="169" t="s">
        <v>338</v>
      </c>
      <c r="I16" s="169" t="s">
        <v>339</v>
      </c>
      <c r="J16" s="169" t="s">
        <v>340</v>
      </c>
      <c r="K16" s="170" t="s">
        <v>341</v>
      </c>
      <c r="P16" s="156">
        <f>(((1+0.03+0.0012+0.0097)*(1+0.0028)*(1+0.0616)/(1-(0.03+0.045+0.0065+0.024)))-1)*100</f>
        <v>23.880770758188952</v>
      </c>
    </row>
    <row r="17" spans="2:16" ht="30" customHeight="1" thickBot="1" x14ac:dyDescent="0.35">
      <c r="B17" s="171" t="s">
        <v>342</v>
      </c>
      <c r="C17" s="172" t="s">
        <v>343</v>
      </c>
      <c r="D17" s="172" t="s">
        <v>344</v>
      </c>
      <c r="E17" s="172" t="s">
        <v>345</v>
      </c>
      <c r="F17" s="172" t="s">
        <v>346</v>
      </c>
      <c r="G17" s="172" t="s">
        <v>347</v>
      </c>
      <c r="H17" s="172" t="s">
        <v>348</v>
      </c>
      <c r="I17" s="172" t="s">
        <v>342</v>
      </c>
      <c r="J17" s="172" t="s">
        <v>349</v>
      </c>
      <c r="K17" s="173" t="s">
        <v>350</v>
      </c>
      <c r="P17" s="174">
        <f>(((1+0.03+0.0012+0.0097)*(1+0.0113)*(1+0.0616)/(1-(0.03+0.045+0.0065+0.024)))-1)*100</f>
        <v>24.930817179653488</v>
      </c>
    </row>
    <row r="18" spans="2:16" x14ac:dyDescent="0.3">
      <c r="B18" s="175"/>
      <c r="K18" s="176"/>
    </row>
    <row r="19" spans="2:16" ht="18" customHeight="1" x14ac:dyDescent="0.3">
      <c r="B19" s="415" t="s">
        <v>351</v>
      </c>
      <c r="C19" s="416"/>
      <c r="D19" s="416"/>
      <c r="E19" s="416"/>
      <c r="F19" s="416"/>
      <c r="G19" s="416"/>
      <c r="H19" s="416"/>
      <c r="I19" s="416"/>
      <c r="J19" s="416"/>
      <c r="K19" s="417"/>
    </row>
    <row r="20" spans="2:16" ht="18" customHeight="1" x14ac:dyDescent="0.3">
      <c r="B20" s="415" t="s">
        <v>352</v>
      </c>
      <c r="C20" s="416"/>
      <c r="D20" s="416"/>
      <c r="E20" s="416"/>
      <c r="F20" s="416"/>
      <c r="G20" s="416"/>
      <c r="H20" s="416"/>
      <c r="I20" s="416"/>
      <c r="J20" s="416"/>
      <c r="K20" s="417"/>
    </row>
    <row r="21" spans="2:16" s="177" customFormat="1" ht="36" customHeight="1" x14ac:dyDescent="0.3">
      <c r="B21" s="425" t="s">
        <v>353</v>
      </c>
      <c r="C21" s="426"/>
      <c r="D21" s="426"/>
      <c r="E21" s="426"/>
      <c r="F21" s="426"/>
      <c r="G21" s="426"/>
      <c r="H21" s="426"/>
      <c r="I21" s="426"/>
      <c r="J21" s="426"/>
      <c r="K21" s="427"/>
    </row>
    <row r="22" spans="2:16" ht="16.5" customHeight="1" x14ac:dyDescent="0.3">
      <c r="B22" s="418" t="s">
        <v>354</v>
      </c>
      <c r="C22" s="419"/>
      <c r="D22" s="419"/>
      <c r="E22" s="419"/>
      <c r="F22" s="419"/>
      <c r="G22" s="419"/>
      <c r="H22" s="419"/>
      <c r="I22" s="419"/>
      <c r="J22" s="419"/>
      <c r="K22" s="420"/>
    </row>
    <row r="23" spans="2:16" x14ac:dyDescent="0.3">
      <c r="B23" s="418"/>
      <c r="C23" s="419"/>
      <c r="D23" s="419"/>
      <c r="E23" s="419"/>
      <c r="F23" s="419"/>
      <c r="G23" s="419"/>
      <c r="H23" s="419"/>
      <c r="I23" s="419"/>
      <c r="J23" s="419"/>
      <c r="K23" s="420"/>
    </row>
    <row r="24" spans="2:16" x14ac:dyDescent="0.3">
      <c r="B24" s="418"/>
      <c r="C24" s="419"/>
      <c r="D24" s="419"/>
      <c r="E24" s="419"/>
      <c r="F24" s="419"/>
      <c r="G24" s="419"/>
      <c r="H24" s="419"/>
      <c r="I24" s="419"/>
      <c r="J24" s="419"/>
      <c r="K24" s="420"/>
    </row>
    <row r="25" spans="2:16" x14ac:dyDescent="0.3">
      <c r="B25" s="418"/>
      <c r="C25" s="419"/>
      <c r="D25" s="419"/>
      <c r="E25" s="419"/>
      <c r="F25" s="419"/>
      <c r="G25" s="419"/>
      <c r="H25" s="419"/>
      <c r="I25" s="419"/>
      <c r="J25" s="419"/>
      <c r="K25" s="420"/>
    </row>
    <row r="26" spans="2:16" x14ac:dyDescent="0.3">
      <c r="B26" s="418"/>
      <c r="C26" s="419"/>
      <c r="D26" s="419"/>
      <c r="E26" s="419"/>
      <c r="F26" s="419"/>
      <c r="G26" s="419"/>
      <c r="H26" s="419"/>
      <c r="I26" s="419"/>
      <c r="J26" s="419"/>
      <c r="K26" s="420"/>
    </row>
    <row r="27" spans="2:16" x14ac:dyDescent="0.3">
      <c r="B27" s="418"/>
      <c r="C27" s="419"/>
      <c r="D27" s="419"/>
      <c r="E27" s="419"/>
      <c r="F27" s="419"/>
      <c r="G27" s="419"/>
      <c r="H27" s="419"/>
      <c r="I27" s="419"/>
      <c r="J27" s="419"/>
      <c r="K27" s="420"/>
    </row>
    <row r="28" spans="2:16" x14ac:dyDescent="0.3">
      <c r="B28" s="418"/>
      <c r="C28" s="419"/>
      <c r="D28" s="419"/>
      <c r="E28" s="419"/>
      <c r="F28" s="419"/>
      <c r="G28" s="419"/>
      <c r="H28" s="419"/>
      <c r="I28" s="419"/>
      <c r="J28" s="419"/>
      <c r="K28" s="420"/>
    </row>
    <row r="29" spans="2:16" ht="18" customHeight="1" x14ac:dyDescent="0.3">
      <c r="B29" s="428" t="s">
        <v>355</v>
      </c>
      <c r="C29" s="429"/>
      <c r="D29" s="429"/>
      <c r="E29" s="429"/>
      <c r="F29" s="429"/>
      <c r="G29" s="429"/>
      <c r="H29" s="429"/>
      <c r="I29" s="429"/>
      <c r="J29" s="429"/>
      <c r="K29" s="430"/>
    </row>
    <row r="30" spans="2:16" ht="18" customHeight="1" x14ac:dyDescent="0.3">
      <c r="B30" s="428" t="s">
        <v>356</v>
      </c>
      <c r="C30" s="429"/>
      <c r="D30" s="429"/>
      <c r="E30" s="429"/>
      <c r="F30" s="429"/>
      <c r="G30" s="429"/>
      <c r="H30" s="429"/>
      <c r="I30" s="429"/>
      <c r="J30" s="429"/>
      <c r="K30" s="430"/>
    </row>
    <row r="31" spans="2:16" ht="18" customHeight="1" x14ac:dyDescent="0.3">
      <c r="B31" s="428" t="s">
        <v>357</v>
      </c>
      <c r="C31" s="429"/>
      <c r="D31" s="429"/>
      <c r="E31" s="429"/>
      <c r="F31" s="429"/>
      <c r="G31" s="429"/>
      <c r="H31" s="429"/>
      <c r="I31" s="429"/>
      <c r="J31" s="429"/>
      <c r="K31" s="430"/>
    </row>
    <row r="32" spans="2:16" ht="16.5" customHeight="1" x14ac:dyDescent="0.3">
      <c r="B32" s="418" t="s">
        <v>358</v>
      </c>
      <c r="C32" s="419"/>
      <c r="D32" s="419"/>
      <c r="E32" s="419"/>
      <c r="F32" s="419"/>
      <c r="G32" s="419"/>
      <c r="H32" s="419"/>
      <c r="I32" s="419"/>
      <c r="J32" s="419"/>
      <c r="K32" s="420"/>
    </row>
    <row r="33" spans="2:11" x14ac:dyDescent="0.3">
      <c r="B33" s="418"/>
      <c r="C33" s="419"/>
      <c r="D33" s="419"/>
      <c r="E33" s="419"/>
      <c r="F33" s="419"/>
      <c r="G33" s="419"/>
      <c r="H33" s="419"/>
      <c r="I33" s="419"/>
      <c r="J33" s="419"/>
      <c r="K33" s="420"/>
    </row>
    <row r="34" spans="2:11" ht="18" customHeight="1" x14ac:dyDescent="0.3">
      <c r="B34" s="415" t="s">
        <v>359</v>
      </c>
      <c r="C34" s="416"/>
      <c r="D34" s="416"/>
      <c r="E34" s="416"/>
      <c r="F34" s="416"/>
      <c r="G34" s="416"/>
      <c r="H34" s="416"/>
      <c r="I34" s="416"/>
      <c r="J34" s="416"/>
      <c r="K34" s="417"/>
    </row>
    <row r="35" spans="2:11" x14ac:dyDescent="0.3">
      <c r="B35" s="310"/>
      <c r="C35" s="311"/>
      <c r="D35" s="311"/>
      <c r="E35" s="311"/>
      <c r="F35" s="311"/>
      <c r="G35" s="311"/>
      <c r="H35" s="311"/>
      <c r="I35" s="311"/>
      <c r="J35" s="311"/>
      <c r="K35" s="312"/>
    </row>
    <row r="36" spans="2:11" x14ac:dyDescent="0.3">
      <c r="B36" s="310"/>
      <c r="C36" s="311"/>
      <c r="D36" s="311"/>
      <c r="E36" s="311"/>
      <c r="F36" s="311" t="s">
        <v>360</v>
      </c>
      <c r="G36" s="311"/>
      <c r="H36" s="311"/>
      <c r="I36" s="311"/>
      <c r="J36" s="311"/>
      <c r="K36" s="312"/>
    </row>
    <row r="37" spans="2:11" x14ac:dyDescent="0.3">
      <c r="B37" s="421"/>
      <c r="C37" s="422"/>
      <c r="D37" s="422"/>
      <c r="E37" s="311"/>
      <c r="F37" s="311" t="s">
        <v>361</v>
      </c>
      <c r="G37" s="311"/>
      <c r="H37" s="311"/>
      <c r="I37" s="311"/>
      <c r="J37" s="311"/>
      <c r="K37" s="312"/>
    </row>
    <row r="38" spans="2:11" x14ac:dyDescent="0.3">
      <c r="B38" s="421"/>
      <c r="C38" s="422"/>
      <c r="D38" s="422"/>
      <c r="E38" s="311"/>
      <c r="F38" s="311" t="s">
        <v>362</v>
      </c>
      <c r="G38" s="311"/>
      <c r="H38" s="311"/>
      <c r="I38" s="311"/>
      <c r="J38" s="311"/>
      <c r="K38" s="312"/>
    </row>
    <row r="39" spans="2:11" x14ac:dyDescent="0.3">
      <c r="B39" s="421"/>
      <c r="C39" s="422"/>
      <c r="D39" s="422"/>
      <c r="E39" s="311"/>
      <c r="F39" s="311" t="s">
        <v>363</v>
      </c>
      <c r="G39" s="311"/>
      <c r="H39" s="311"/>
      <c r="I39" s="311"/>
      <c r="J39" s="311"/>
      <c r="K39" s="312"/>
    </row>
    <row r="40" spans="2:11" x14ac:dyDescent="0.3">
      <c r="B40" s="310"/>
      <c r="C40" s="311"/>
      <c r="D40" s="311"/>
      <c r="E40" s="311"/>
      <c r="F40" s="311" t="s">
        <v>364</v>
      </c>
      <c r="G40" s="311"/>
      <c r="H40" s="311"/>
      <c r="I40" s="311"/>
      <c r="J40" s="311"/>
      <c r="K40" s="312"/>
    </row>
    <row r="41" spans="2:11" x14ac:dyDescent="0.3">
      <c r="B41" s="310"/>
      <c r="C41" s="311"/>
      <c r="D41" s="311"/>
      <c r="E41" s="311"/>
      <c r="F41" s="311" t="s">
        <v>365</v>
      </c>
      <c r="G41" s="311"/>
      <c r="H41" s="311"/>
      <c r="I41" s="311"/>
      <c r="J41" s="311"/>
      <c r="K41" s="312"/>
    </row>
    <row r="42" spans="2:11" x14ac:dyDescent="0.3">
      <c r="B42" s="310"/>
      <c r="C42" s="311"/>
      <c r="D42" s="311"/>
      <c r="E42" s="311"/>
      <c r="F42" s="311" t="s">
        <v>366</v>
      </c>
      <c r="G42" s="311"/>
      <c r="H42" s="311"/>
      <c r="I42" s="311"/>
      <c r="J42" s="311"/>
      <c r="K42" s="312"/>
    </row>
    <row r="43" spans="2:11" x14ac:dyDescent="0.3">
      <c r="B43" s="310"/>
      <c r="C43" s="311"/>
      <c r="D43" s="311"/>
      <c r="E43" s="311"/>
      <c r="F43" s="311" t="s">
        <v>367</v>
      </c>
      <c r="G43" s="311"/>
      <c r="H43" s="311"/>
      <c r="I43" s="311"/>
      <c r="J43" s="311"/>
      <c r="K43" s="312"/>
    </row>
    <row r="44" spans="2:11" x14ac:dyDescent="0.3">
      <c r="B44" s="310"/>
      <c r="C44" s="311"/>
      <c r="D44" s="311"/>
      <c r="E44" s="311"/>
      <c r="F44" s="311"/>
      <c r="G44" s="311"/>
      <c r="H44" s="311"/>
      <c r="I44" s="311"/>
      <c r="J44" s="311"/>
      <c r="K44" s="312"/>
    </row>
    <row r="45" spans="2:11" ht="96" customHeight="1" x14ac:dyDescent="0.3">
      <c r="B45" s="310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2:11" x14ac:dyDescent="0.3">
      <c r="B46" s="313"/>
      <c r="C46" s="314"/>
      <c r="D46" s="314"/>
      <c r="E46" s="178"/>
      <c r="F46" s="306"/>
      <c r="G46" s="179"/>
      <c r="H46" s="180"/>
      <c r="I46" s="181"/>
      <c r="J46" s="178"/>
      <c r="K46" s="182"/>
    </row>
    <row r="47" spans="2:11" x14ac:dyDescent="0.3">
      <c r="B47" s="534" t="s">
        <v>371</v>
      </c>
      <c r="C47" s="535"/>
      <c r="D47" s="535"/>
      <c r="E47" s="535"/>
      <c r="F47" s="535"/>
      <c r="G47" s="535"/>
      <c r="H47" s="535"/>
      <c r="I47" s="535"/>
      <c r="J47" s="535"/>
      <c r="K47" s="536"/>
    </row>
    <row r="48" spans="2:11" x14ac:dyDescent="0.3">
      <c r="B48" s="537" t="s">
        <v>368</v>
      </c>
      <c r="C48" s="538"/>
      <c r="D48" s="538"/>
      <c r="E48" s="538"/>
      <c r="F48" s="538"/>
      <c r="G48" s="538"/>
      <c r="H48" s="538"/>
      <c r="I48" s="538"/>
      <c r="J48" s="538"/>
      <c r="K48" s="539"/>
    </row>
    <row r="49" spans="2:11" x14ac:dyDescent="0.3">
      <c r="B49" s="534" t="s">
        <v>369</v>
      </c>
      <c r="C49" s="535"/>
      <c r="D49" s="535"/>
      <c r="E49" s="535"/>
      <c r="F49" s="535"/>
      <c r="G49" s="535"/>
      <c r="H49" s="535"/>
      <c r="I49" s="535"/>
      <c r="J49" s="535"/>
      <c r="K49" s="536"/>
    </row>
    <row r="50" spans="2:11" x14ac:dyDescent="0.3">
      <c r="B50" s="534" t="s">
        <v>370</v>
      </c>
      <c r="C50" s="535"/>
      <c r="D50" s="535"/>
      <c r="E50" s="535"/>
      <c r="F50" s="535"/>
      <c r="G50" s="535"/>
      <c r="H50" s="535"/>
      <c r="I50" s="535"/>
      <c r="J50" s="535"/>
      <c r="K50" s="536"/>
    </row>
    <row r="51" spans="2:11" x14ac:dyDescent="0.3">
      <c r="B51" s="313"/>
      <c r="C51" s="161"/>
      <c r="D51" s="314"/>
      <c r="E51" s="178"/>
      <c r="F51" s="306"/>
      <c r="G51" s="180"/>
      <c r="H51" s="161"/>
      <c r="I51" s="183"/>
      <c r="J51" s="178"/>
      <c r="K51" s="182"/>
    </row>
    <row r="52" spans="2:11" ht="17.25" thickBot="1" x14ac:dyDescent="0.35">
      <c r="B52" s="163"/>
      <c r="C52" s="167"/>
      <c r="D52" s="167"/>
      <c r="E52" s="165"/>
      <c r="F52" s="167"/>
      <c r="G52" s="167"/>
      <c r="H52" s="167"/>
      <c r="I52" s="184"/>
      <c r="J52" s="185"/>
      <c r="K52" s="186"/>
    </row>
  </sheetData>
  <sheetProtection algorithmName="SHA-512" hashValue="OnfFx3iW+6LwHGnW+S0H6vujyKLXwt3r49G2+LrxuZID4aA5cC0simBlrr9C1qtAvjC/XwiNUmfC4RmDQMI3HA==" saltValue="yG161hQk5S43TWFEEoKJ3Q==" spinCount="100000" sheet="1" objects="1" scenarios="1"/>
  <mergeCells count="21">
    <mergeCell ref="B21:K21"/>
    <mergeCell ref="B22:K28"/>
    <mergeCell ref="B29:K29"/>
    <mergeCell ref="B30:K30"/>
    <mergeCell ref="B31:K31"/>
    <mergeCell ref="B47:K47"/>
    <mergeCell ref="B48:K48"/>
    <mergeCell ref="B49:K49"/>
    <mergeCell ref="B50:K50"/>
    <mergeCell ref="D2:K3"/>
    <mergeCell ref="D8:D11"/>
    <mergeCell ref="B14:K14"/>
    <mergeCell ref="B15:K15"/>
    <mergeCell ref="B19:K19"/>
    <mergeCell ref="B32:K33"/>
    <mergeCell ref="B34:K34"/>
    <mergeCell ref="B37:D39"/>
    <mergeCell ref="E8:K8"/>
    <mergeCell ref="E9:K9"/>
    <mergeCell ref="E10:K10"/>
    <mergeCell ref="B20:K20"/>
  </mergeCells>
  <pageMargins left="0.70866141732283472" right="0.51181102362204722" top="1.5748031496062993" bottom="0.78740157480314965" header="0.31496062992125984" footer="0.31496062992125984"/>
  <pageSetup paperSize="9"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ORÇAMENTO</vt:lpstr>
      <vt:lpstr>MEMÓRIA DE CÁLCULO</vt:lpstr>
      <vt:lpstr>RELATÓRIO DE COMPOSIÇÃO</vt:lpstr>
      <vt:lpstr>CRONOGRAMA</vt:lpstr>
      <vt:lpstr>BDI (24,93%)</vt:lpstr>
      <vt:lpstr>'MEMÓRIA DE CÁLCULO'!Area_de_impressao</vt:lpstr>
      <vt:lpstr>ORÇAMENTO!Area_de_impressao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2023-05-03T12:14:28Z</dcterms:modified>
</cp:coreProperties>
</file>